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thekenilworthcentre-my.sharepoint.com/personal/michaela_thekenilworthcentre_com/Documents/Management Accounts/2023 2024/"/>
    </mc:Choice>
  </mc:AlternateContent>
  <xr:revisionPtr revIDLastSave="748" documentId="8_{E4664961-39B5-4DFF-A2E1-A7F0A9E949E4}" xr6:coauthVersionLast="47" xr6:coauthVersionMax="47" xr10:uidLastSave="{DC0D8F91-9755-4A97-A7F0-FAEA14E26668}"/>
  <bookViews>
    <workbookView xWindow="525" yWindow="1200" windowWidth="17355" windowHeight="14550" tabRatio="750" activeTab="2" xr2:uid="{00000000-000D-0000-FFFF-FFFF00000000}"/>
  </bookViews>
  <sheets>
    <sheet name="Info" sheetId="12" r:id="rId1"/>
    <sheet name="H4 20-21 summary" sheetId="2" r:id="rId2"/>
    <sheet name="Open Restricted Funds" sheetId="17" r:id="rId3"/>
    <sheet name="Funds Analysis" sheetId="3" r:id="rId4"/>
    <sheet name="Business Plan 17-18" sheetId="15" state="hidden" r:id="rId5"/>
    <sheet name="Movement rec" sheetId="19" state="hidden" r:id="rId6"/>
    <sheet name="Balance Sheet" sheetId="13" r:id="rId7"/>
    <sheet name="Balance Sheet Q2 16_17" sheetId="5" state="hidden" r:id="rId8"/>
    <sheet name="Restricted Fund Status" sheetId="11" state="hidden" r:id="rId9"/>
    <sheet name="Restricted Funds Mvmt Rec" sheetId="7" state="hidden" r:id="rId10"/>
    <sheet name="Accruals (2)" sheetId="26" state="hidden" r:id="rId11"/>
    <sheet name="Prepayments (2)" sheetId="25" state="hidden" r:id="rId12"/>
    <sheet name="Furlough" sheetId="23" state="hidden" r:id="rId13"/>
    <sheet name="Business Plan 17_18" sheetId="6" state="hidden" r:id="rId14"/>
    <sheet name="Business Plan 17_18 Revised" sheetId="14" state="hidden" r:id="rId15"/>
    <sheet name="Prepayments" sheetId="20" state="hidden" r:id="rId16"/>
    <sheet name="Accruals" sheetId="9" state="hidden" r:id="rId17"/>
    <sheet name="Staff cost" sheetId="22" state="hidden" r:id="rId18"/>
    <sheet name="Budget" sheetId="21" state="hidden" r:id="rId19"/>
    <sheet name="Adjustments" sheetId="10" state="hidden" r:id="rId20"/>
  </sheets>
  <definedNames>
    <definedName name="_xlnm.Print_Area" localSheetId="1">'H4 20-21 summary'!$A$1:$N$92</definedName>
    <definedName name="_xlnm.Print_Titles" localSheetId="3">'Funds Analysis'!#REF!</definedName>
    <definedName name="_xlnm.Print_Titles" localSheetId="1">'H4 20-21 summary'!$1:$3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17" l="1"/>
  <c r="P89" i="3"/>
  <c r="P90" i="3" s="1"/>
  <c r="T89" i="3"/>
  <c r="T90" i="3" s="1"/>
  <c r="P81" i="3"/>
  <c r="Q81" i="3"/>
  <c r="Q89" i="3" s="1"/>
  <c r="Q90" i="3" s="1"/>
  <c r="R81" i="3"/>
  <c r="R89" i="3" s="1"/>
  <c r="R90" i="3" s="1"/>
  <c r="S81" i="3"/>
  <c r="S89" i="3" s="1"/>
  <c r="S90" i="3" s="1"/>
  <c r="T81" i="3"/>
  <c r="U81" i="3"/>
  <c r="U89" i="3" s="1"/>
  <c r="U90" i="3" s="1"/>
  <c r="V81" i="3"/>
  <c r="V89" i="3" s="1"/>
  <c r="V90" i="3" s="1"/>
  <c r="O81" i="3"/>
  <c r="P40" i="3"/>
  <c r="Q40" i="3"/>
  <c r="R40" i="3"/>
  <c r="S40" i="3"/>
  <c r="T40" i="3"/>
  <c r="U40" i="3"/>
  <c r="V40" i="3"/>
  <c r="O40" i="3"/>
  <c r="P37" i="3"/>
  <c r="Q37" i="3"/>
  <c r="R37" i="3"/>
  <c r="S37" i="3"/>
  <c r="T37" i="3"/>
  <c r="U37" i="3"/>
  <c r="V37" i="3"/>
  <c r="O37" i="3"/>
  <c r="F85" i="3"/>
  <c r="F27" i="3"/>
  <c r="F28" i="3" s="1"/>
  <c r="B28" i="3"/>
  <c r="C28" i="3"/>
  <c r="D28" i="3"/>
  <c r="E28" i="3"/>
  <c r="E84" i="3"/>
  <c r="E85" i="3" s="1"/>
  <c r="E89" i="3" s="1"/>
  <c r="E27" i="3"/>
  <c r="F39" i="2"/>
  <c r="F37" i="2"/>
  <c r="E34" i="2"/>
  <c r="E31" i="2"/>
  <c r="E28" i="2"/>
  <c r="G27" i="2"/>
  <c r="E27" i="2"/>
  <c r="C26" i="2"/>
  <c r="E24" i="2"/>
  <c r="F19" i="2"/>
  <c r="G16" i="2"/>
  <c r="G15" i="2"/>
  <c r="E16" i="2"/>
  <c r="E15" i="2"/>
  <c r="E13" i="2"/>
  <c r="E12" i="2"/>
  <c r="F90" i="3" l="1"/>
  <c r="E98" i="3"/>
  <c r="O89" i="3"/>
  <c r="B55" i="13"/>
  <c r="B54" i="13"/>
  <c r="B56" i="13" s="1"/>
  <c r="B47" i="13"/>
  <c r="B46" i="13"/>
  <c r="B45" i="13"/>
  <c r="B48" i="13" s="1"/>
  <c r="B42" i="13"/>
  <c r="B43" i="13" s="1"/>
  <c r="B49" i="13" s="1"/>
  <c r="B37" i="13"/>
  <c r="B36" i="13"/>
  <c r="B35" i="13"/>
  <c r="B34" i="13"/>
  <c r="B31" i="13"/>
  <c r="B30" i="13"/>
  <c r="B29" i="13"/>
  <c r="B32" i="13" s="1"/>
  <c r="B28" i="13"/>
  <c r="B27" i="13"/>
  <c r="B23" i="13"/>
  <c r="B22" i="13"/>
  <c r="B21" i="13"/>
  <c r="B20" i="13"/>
  <c r="O25" i="17"/>
  <c r="O19" i="17"/>
  <c r="P41" i="17"/>
  <c r="P34" i="17"/>
  <c r="P27" i="17"/>
  <c r="P26" i="17"/>
  <c r="P7" i="17"/>
  <c r="K31" i="17"/>
  <c r="I31" i="17"/>
  <c r="K25" i="17"/>
  <c r="K13" i="17"/>
  <c r="AA98" i="3"/>
  <c r="Z98" i="3"/>
  <c r="V98" i="3"/>
  <c r="O39" i="17" s="1"/>
  <c r="U98" i="3"/>
  <c r="O38" i="17" s="1"/>
  <c r="T98" i="3"/>
  <c r="O37" i="17" s="1"/>
  <c r="S98" i="3"/>
  <c r="O36" i="17" s="1"/>
  <c r="R98" i="3"/>
  <c r="O35" i="17" s="1"/>
  <c r="Q98" i="3"/>
  <c r="P98" i="3"/>
  <c r="O32" i="17" s="1"/>
  <c r="N98" i="3"/>
  <c r="F98" i="3"/>
  <c r="O13" i="17" s="1"/>
  <c r="D98" i="3"/>
  <c r="O11" i="17" s="1"/>
  <c r="C98" i="3"/>
  <c r="O10" i="17" s="1"/>
  <c r="B98" i="3"/>
  <c r="H98" i="3"/>
  <c r="O18" i="17" s="1"/>
  <c r="I98" i="3"/>
  <c r="O22" i="17" s="1"/>
  <c r="J98" i="3"/>
  <c r="K98" i="3"/>
  <c r="L98" i="3"/>
  <c r="O20" i="17" s="1"/>
  <c r="K20" i="17"/>
  <c r="K19" i="17"/>
  <c r="J19" i="17"/>
  <c r="AC7" i="3"/>
  <c r="AC8" i="3"/>
  <c r="AC9" i="3"/>
  <c r="AC10" i="3"/>
  <c r="G13" i="2" s="1"/>
  <c r="AC11" i="3"/>
  <c r="AC12" i="3"/>
  <c r="AC13" i="3"/>
  <c r="AC14" i="3"/>
  <c r="AC15" i="3"/>
  <c r="AC16" i="3"/>
  <c r="G12" i="2" s="1"/>
  <c r="G19" i="2" s="1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G24" i="2" s="1"/>
  <c r="AC38" i="3"/>
  <c r="AC39" i="3"/>
  <c r="AC40" i="3"/>
  <c r="AC41" i="3"/>
  <c r="AC42" i="3"/>
  <c r="AC43" i="3"/>
  <c r="AC44" i="3"/>
  <c r="AC45" i="3"/>
  <c r="G25" i="2" s="1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G26" i="2" s="1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G28" i="2" s="1"/>
  <c r="AC76" i="3"/>
  <c r="AC77" i="3"/>
  <c r="AC78" i="3"/>
  <c r="AC79" i="3"/>
  <c r="AC80" i="3"/>
  <c r="AC81" i="3"/>
  <c r="AC82" i="3"/>
  <c r="AC83" i="3"/>
  <c r="AC84" i="3"/>
  <c r="AC85" i="3"/>
  <c r="AC86" i="3"/>
  <c r="AC87" i="3"/>
  <c r="G32" i="2" s="1"/>
  <c r="AC88" i="3"/>
  <c r="AC89" i="3"/>
  <c r="AC90" i="3"/>
  <c r="AC91" i="3"/>
  <c r="AC92" i="3"/>
  <c r="G17" i="2" s="1"/>
  <c r="AC93" i="3"/>
  <c r="AC94" i="3"/>
  <c r="AC95" i="3"/>
  <c r="G34" i="2" s="1"/>
  <c r="AC96" i="3"/>
  <c r="AC97" i="3"/>
  <c r="AC6" i="3"/>
  <c r="X29" i="3"/>
  <c r="AD29" i="3" s="1"/>
  <c r="X41" i="3"/>
  <c r="AD41" i="3" s="1"/>
  <c r="X45" i="3"/>
  <c r="AD45" i="3" s="1"/>
  <c r="X49" i="3"/>
  <c r="AD49" i="3" s="1"/>
  <c r="X53" i="3"/>
  <c r="AD53" i="3" s="1"/>
  <c r="X57" i="3"/>
  <c r="AD57" i="3" s="1"/>
  <c r="X61" i="3"/>
  <c r="AD61" i="3" s="1"/>
  <c r="X65" i="3"/>
  <c r="AD65" i="3" s="1"/>
  <c r="X69" i="3"/>
  <c r="AD69" i="3" s="1"/>
  <c r="Y98" i="3"/>
  <c r="AB98" i="3"/>
  <c r="AC98" i="3"/>
  <c r="O27" i="3"/>
  <c r="W27" i="3" s="1"/>
  <c r="W7" i="3"/>
  <c r="W8" i="3"/>
  <c r="W9" i="3"/>
  <c r="X9" i="3" s="1"/>
  <c r="AD9" i="3" s="1"/>
  <c r="W10" i="3"/>
  <c r="D13" i="2" s="1"/>
  <c r="W11" i="3"/>
  <c r="W12" i="3"/>
  <c r="W13" i="3"/>
  <c r="X13" i="3" s="1"/>
  <c r="AD13" i="3" s="1"/>
  <c r="W14" i="3"/>
  <c r="W15" i="3"/>
  <c r="W16" i="3"/>
  <c r="D12" i="2" s="1"/>
  <c r="W17" i="3"/>
  <c r="X17" i="3" s="1"/>
  <c r="AD17" i="3" s="1"/>
  <c r="W18" i="3"/>
  <c r="W19" i="3"/>
  <c r="W20" i="3"/>
  <c r="W21" i="3"/>
  <c r="X21" i="3" s="1"/>
  <c r="AD21" i="3" s="1"/>
  <c r="W22" i="3"/>
  <c r="W23" i="3"/>
  <c r="D15" i="2" s="1"/>
  <c r="W24" i="3"/>
  <c r="W25" i="3"/>
  <c r="W26" i="3"/>
  <c r="W29" i="3"/>
  <c r="W30" i="3"/>
  <c r="W31" i="3"/>
  <c r="W32" i="3"/>
  <c r="W33" i="3"/>
  <c r="W34" i="3"/>
  <c r="W35" i="3"/>
  <c r="X35" i="3" s="1"/>
  <c r="AD35" i="3" s="1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X71" i="3" s="1"/>
  <c r="AD71" i="3" s="1"/>
  <c r="W72" i="3"/>
  <c r="W73" i="3"/>
  <c r="W74" i="3"/>
  <c r="W75" i="3"/>
  <c r="D28" i="2" s="1"/>
  <c r="W76" i="3"/>
  <c r="W77" i="3"/>
  <c r="W78" i="3"/>
  <c r="W79" i="3"/>
  <c r="X79" i="3" s="1"/>
  <c r="AD79" i="3" s="1"/>
  <c r="W80" i="3"/>
  <c r="W81" i="3"/>
  <c r="W82" i="3"/>
  <c r="W83" i="3"/>
  <c r="X83" i="3" s="1"/>
  <c r="AD83" i="3" s="1"/>
  <c r="W84" i="3"/>
  <c r="W85" i="3"/>
  <c r="W86" i="3"/>
  <c r="W87" i="3"/>
  <c r="X87" i="3" s="1"/>
  <c r="AD87" i="3" s="1"/>
  <c r="W88" i="3"/>
  <c r="W89" i="3"/>
  <c r="W91" i="3"/>
  <c r="W92" i="3"/>
  <c r="W93" i="3"/>
  <c r="W94" i="3"/>
  <c r="W95" i="3"/>
  <c r="D34" i="2" s="1"/>
  <c r="W96" i="3"/>
  <c r="W97" i="3"/>
  <c r="W6" i="3"/>
  <c r="M7" i="3"/>
  <c r="M8" i="3"/>
  <c r="M9" i="3"/>
  <c r="M10" i="3"/>
  <c r="C13" i="2" s="1"/>
  <c r="M11" i="3"/>
  <c r="M12" i="3"/>
  <c r="M13" i="3"/>
  <c r="M14" i="3"/>
  <c r="M15" i="3"/>
  <c r="M16" i="3"/>
  <c r="C12" i="2" s="1"/>
  <c r="H12" i="2" s="1"/>
  <c r="M17" i="3"/>
  <c r="M18" i="3"/>
  <c r="M19" i="3"/>
  <c r="M20" i="3"/>
  <c r="M21" i="3"/>
  <c r="M22" i="3"/>
  <c r="M23" i="3"/>
  <c r="C15" i="2" s="1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C28" i="2" s="1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C34" i="2" s="1"/>
  <c r="M96" i="3"/>
  <c r="M97" i="3"/>
  <c r="M6" i="3"/>
  <c r="G7" i="3"/>
  <c r="X7" i="3" s="1"/>
  <c r="AD7" i="3" s="1"/>
  <c r="G8" i="3"/>
  <c r="X8" i="3" s="1"/>
  <c r="AD8" i="3" s="1"/>
  <c r="G9" i="3"/>
  <c r="G10" i="3"/>
  <c r="B13" i="2" s="1"/>
  <c r="G11" i="3"/>
  <c r="X11" i="3" s="1"/>
  <c r="AD11" i="3" s="1"/>
  <c r="G12" i="3"/>
  <c r="X12" i="3" s="1"/>
  <c r="AD12" i="3" s="1"/>
  <c r="G13" i="3"/>
  <c r="G14" i="3"/>
  <c r="X14" i="3" s="1"/>
  <c r="AD14" i="3" s="1"/>
  <c r="G15" i="3"/>
  <c r="X15" i="3" s="1"/>
  <c r="AD15" i="3" s="1"/>
  <c r="G16" i="3"/>
  <c r="X16" i="3" s="1"/>
  <c r="AD16" i="3" s="1"/>
  <c r="G17" i="3"/>
  <c r="G18" i="3"/>
  <c r="X18" i="3" s="1"/>
  <c r="AD18" i="3" s="1"/>
  <c r="G19" i="3"/>
  <c r="X19" i="3" s="1"/>
  <c r="AD19" i="3" s="1"/>
  <c r="G20" i="3"/>
  <c r="X20" i="3" s="1"/>
  <c r="AD20" i="3" s="1"/>
  <c r="G21" i="3"/>
  <c r="G22" i="3"/>
  <c r="B12" i="2" s="1"/>
  <c r="G23" i="3"/>
  <c r="B15" i="2" s="1"/>
  <c r="G24" i="3"/>
  <c r="X24" i="3" s="1"/>
  <c r="AD24" i="3" s="1"/>
  <c r="G25" i="3"/>
  <c r="G26" i="3"/>
  <c r="X26" i="3" s="1"/>
  <c r="AD26" i="3" s="1"/>
  <c r="G27" i="3"/>
  <c r="G28" i="3"/>
  <c r="G29" i="3"/>
  <c r="G30" i="3"/>
  <c r="X30" i="3" s="1"/>
  <c r="AD30" i="3" s="1"/>
  <c r="G31" i="3"/>
  <c r="X31" i="3" s="1"/>
  <c r="AD31" i="3" s="1"/>
  <c r="G32" i="3"/>
  <c r="X32" i="3" s="1"/>
  <c r="AD32" i="3" s="1"/>
  <c r="G33" i="3"/>
  <c r="G34" i="3"/>
  <c r="G35" i="3"/>
  <c r="G36" i="3"/>
  <c r="X36" i="3" s="1"/>
  <c r="AD36" i="3" s="1"/>
  <c r="G37" i="3"/>
  <c r="G38" i="3"/>
  <c r="X38" i="3" s="1"/>
  <c r="AD38" i="3" s="1"/>
  <c r="G39" i="3"/>
  <c r="X39" i="3" s="1"/>
  <c r="AD39" i="3" s="1"/>
  <c r="G40" i="3"/>
  <c r="G41" i="3"/>
  <c r="G42" i="3"/>
  <c r="X42" i="3" s="1"/>
  <c r="AD42" i="3" s="1"/>
  <c r="G43" i="3"/>
  <c r="X43" i="3" s="1"/>
  <c r="AD43" i="3" s="1"/>
  <c r="G44" i="3"/>
  <c r="X44" i="3" s="1"/>
  <c r="AD44" i="3" s="1"/>
  <c r="G45" i="3"/>
  <c r="G46" i="3"/>
  <c r="X46" i="3" s="1"/>
  <c r="AD46" i="3" s="1"/>
  <c r="G47" i="3"/>
  <c r="X47" i="3" s="1"/>
  <c r="AD47" i="3" s="1"/>
  <c r="G48" i="3"/>
  <c r="X48" i="3" s="1"/>
  <c r="AD48" i="3" s="1"/>
  <c r="G49" i="3"/>
  <c r="G50" i="3"/>
  <c r="X50" i="3" s="1"/>
  <c r="AD50" i="3" s="1"/>
  <c r="G51" i="3"/>
  <c r="X51" i="3" s="1"/>
  <c r="AD51" i="3" s="1"/>
  <c r="G52" i="3"/>
  <c r="X52" i="3" s="1"/>
  <c r="AD52" i="3" s="1"/>
  <c r="G53" i="3"/>
  <c r="G54" i="3"/>
  <c r="X54" i="3" s="1"/>
  <c r="AD54" i="3" s="1"/>
  <c r="G55" i="3"/>
  <c r="X55" i="3" s="1"/>
  <c r="AD55" i="3" s="1"/>
  <c r="G56" i="3"/>
  <c r="X56" i="3" s="1"/>
  <c r="AD56" i="3" s="1"/>
  <c r="G57" i="3"/>
  <c r="G58" i="3"/>
  <c r="X58" i="3" s="1"/>
  <c r="AD58" i="3" s="1"/>
  <c r="G59" i="3"/>
  <c r="X59" i="3" s="1"/>
  <c r="AD59" i="3" s="1"/>
  <c r="G60" i="3"/>
  <c r="X60" i="3" s="1"/>
  <c r="AD60" i="3" s="1"/>
  <c r="G61" i="3"/>
  <c r="G62" i="3"/>
  <c r="X62" i="3" s="1"/>
  <c r="AD62" i="3" s="1"/>
  <c r="G63" i="3"/>
  <c r="X63" i="3" s="1"/>
  <c r="AD63" i="3" s="1"/>
  <c r="G64" i="3"/>
  <c r="X64" i="3" s="1"/>
  <c r="AD64" i="3" s="1"/>
  <c r="G65" i="3"/>
  <c r="G66" i="3"/>
  <c r="X66" i="3" s="1"/>
  <c r="AD66" i="3" s="1"/>
  <c r="G67" i="3"/>
  <c r="X67" i="3" s="1"/>
  <c r="AD67" i="3" s="1"/>
  <c r="G68" i="3"/>
  <c r="X68" i="3" s="1"/>
  <c r="AD68" i="3" s="1"/>
  <c r="G69" i="3"/>
  <c r="G70" i="3"/>
  <c r="X70" i="3" s="1"/>
  <c r="AD70" i="3" s="1"/>
  <c r="G71" i="3"/>
  <c r="G72" i="3"/>
  <c r="G73" i="3"/>
  <c r="G74" i="3"/>
  <c r="G75" i="3"/>
  <c r="G76" i="3"/>
  <c r="G77" i="3"/>
  <c r="G78" i="3"/>
  <c r="G79" i="3"/>
  <c r="G80" i="3"/>
  <c r="X80" i="3" s="1"/>
  <c r="AD80" i="3" s="1"/>
  <c r="G81" i="3"/>
  <c r="G82" i="3"/>
  <c r="G83" i="3"/>
  <c r="G84" i="3"/>
  <c r="X84" i="3" s="1"/>
  <c r="AD84" i="3" s="1"/>
  <c r="G85" i="3"/>
  <c r="B31" i="2" s="1"/>
  <c r="G86" i="3"/>
  <c r="G87" i="3"/>
  <c r="G88" i="3"/>
  <c r="G89" i="3"/>
  <c r="G90" i="3"/>
  <c r="G91" i="3"/>
  <c r="G92" i="3"/>
  <c r="G93" i="3"/>
  <c r="X93" i="3" s="1"/>
  <c r="AD93" i="3" s="1"/>
  <c r="G94" i="3"/>
  <c r="G95" i="3"/>
  <c r="G96" i="3"/>
  <c r="G97" i="3"/>
  <c r="X97" i="3" s="1"/>
  <c r="AD97" i="3" s="1"/>
  <c r="G6" i="3"/>
  <c r="X6" i="3" s="1"/>
  <c r="AD6" i="3" s="1"/>
  <c r="J22" i="17"/>
  <c r="K22" i="17"/>
  <c r="N26" i="17"/>
  <c r="N27" i="17"/>
  <c r="N34" i="17"/>
  <c r="N7" i="17"/>
  <c r="L34" i="17"/>
  <c r="I40" i="17"/>
  <c r="K33" i="17"/>
  <c r="J33" i="17"/>
  <c r="N33" i="17" s="1"/>
  <c r="P33" i="17" s="1"/>
  <c r="K32" i="17"/>
  <c r="J32" i="17"/>
  <c r="K35" i="17"/>
  <c r="J35" i="17"/>
  <c r="K39" i="17"/>
  <c r="K38" i="17"/>
  <c r="K36" i="17"/>
  <c r="J36" i="17"/>
  <c r="J38" i="17"/>
  <c r="K18" i="17"/>
  <c r="J18" i="17"/>
  <c r="I18" i="17"/>
  <c r="I23" i="17" s="1"/>
  <c r="K10" i="17"/>
  <c r="J10" i="17"/>
  <c r="J13" i="17"/>
  <c r="I14" i="17"/>
  <c r="J39" i="17"/>
  <c r="K37" i="17"/>
  <c r="L27" i="17"/>
  <c r="J37" i="17"/>
  <c r="I7" i="17"/>
  <c r="K21" i="17"/>
  <c r="J21" i="17"/>
  <c r="N21" i="17" s="1"/>
  <c r="J20" i="17"/>
  <c r="L26" i="17"/>
  <c r="J25" i="17"/>
  <c r="K11" i="17"/>
  <c r="J11" i="17"/>
  <c r="K12" i="17"/>
  <c r="J12" i="17"/>
  <c r="G31" i="2" l="1"/>
  <c r="G37" i="2" s="1"/>
  <c r="G39" i="2" s="1"/>
  <c r="X96" i="3"/>
  <c r="AD96" i="3" s="1"/>
  <c r="P21" i="17"/>
  <c r="X91" i="3"/>
  <c r="AD91" i="3" s="1"/>
  <c r="X86" i="3"/>
  <c r="AD86" i="3" s="1"/>
  <c r="X82" i="3"/>
  <c r="AD82" i="3" s="1"/>
  <c r="X78" i="3"/>
  <c r="AD78" i="3" s="1"/>
  <c r="X74" i="3"/>
  <c r="AD74" i="3" s="1"/>
  <c r="X34" i="3"/>
  <c r="AD34" i="3" s="1"/>
  <c r="X92" i="3"/>
  <c r="AD92" i="3" s="1"/>
  <c r="C16" i="2"/>
  <c r="X94" i="3"/>
  <c r="C17" i="2" s="1"/>
  <c r="X77" i="3"/>
  <c r="AD77" i="3" s="1"/>
  <c r="X73" i="3"/>
  <c r="AD73" i="3" s="1"/>
  <c r="D24" i="2"/>
  <c r="X33" i="3"/>
  <c r="AD33" i="3" s="1"/>
  <c r="M98" i="3"/>
  <c r="O23" i="17" s="1"/>
  <c r="O21" i="17"/>
  <c r="B24" i="2"/>
  <c r="B16" i="2"/>
  <c r="C31" i="2"/>
  <c r="C24" i="2"/>
  <c r="X88" i="3"/>
  <c r="AD88" i="3" s="1"/>
  <c r="X76" i="3"/>
  <c r="AD76" i="3" s="1"/>
  <c r="X72" i="3"/>
  <c r="AD72" i="3" s="1"/>
  <c r="X40" i="3"/>
  <c r="AD40" i="3" s="1"/>
  <c r="D16" i="2"/>
  <c r="X22" i="3"/>
  <c r="AD22" i="3" s="1"/>
  <c r="X10" i="3"/>
  <c r="AD10" i="3" s="1"/>
  <c r="J31" i="17"/>
  <c r="AD94" i="3"/>
  <c r="N19" i="17"/>
  <c r="P19" i="17" s="1"/>
  <c r="N22" i="17"/>
  <c r="P22" i="17" s="1"/>
  <c r="D30" i="2"/>
  <c r="X95" i="3"/>
  <c r="AD95" i="3" s="1"/>
  <c r="N20" i="17"/>
  <c r="P11" i="17"/>
  <c r="J40" i="17"/>
  <c r="P20" i="17"/>
  <c r="X75" i="3"/>
  <c r="AD75" i="3" s="1"/>
  <c r="X89" i="3"/>
  <c r="AD89" i="3" s="1"/>
  <c r="N31" i="17"/>
  <c r="X27" i="3"/>
  <c r="AD27" i="3" s="1"/>
  <c r="O28" i="3"/>
  <c r="W28" i="3" s="1"/>
  <c r="O98" i="3"/>
  <c r="X37" i="3"/>
  <c r="AD37" i="3" s="1"/>
  <c r="K40" i="17"/>
  <c r="X81" i="3"/>
  <c r="AD81" i="3" s="1"/>
  <c r="G98" i="3"/>
  <c r="O14" i="17" s="1"/>
  <c r="X28" i="3"/>
  <c r="AD28" i="3" s="1"/>
  <c r="O12" i="17"/>
  <c r="N12" i="17"/>
  <c r="X85" i="3"/>
  <c r="AD85" i="3" s="1"/>
  <c r="X23" i="3"/>
  <c r="AD23" i="3" s="1"/>
  <c r="X25" i="3"/>
  <c r="AD25" i="3" s="1"/>
  <c r="B24" i="13"/>
  <c r="B25" i="13" s="1"/>
  <c r="B38" i="13"/>
  <c r="N25" i="17"/>
  <c r="P25" i="17" s="1"/>
  <c r="L31" i="17"/>
  <c r="N10" i="17"/>
  <c r="P10" i="17" s="1"/>
  <c r="N38" i="17"/>
  <c r="P38" i="17" s="1"/>
  <c r="N32" i="17"/>
  <c r="P32" i="17" s="1"/>
  <c r="N39" i="17"/>
  <c r="P39" i="17" s="1"/>
  <c r="N13" i="17"/>
  <c r="P13" i="17" s="1"/>
  <c r="N36" i="17"/>
  <c r="P36" i="17" s="1"/>
  <c r="N35" i="17"/>
  <c r="P35" i="17" s="1"/>
  <c r="N11" i="17"/>
  <c r="N37" i="17"/>
  <c r="P37" i="17" s="1"/>
  <c r="N18" i="17"/>
  <c r="P18" i="17" s="1"/>
  <c r="L33" i="17"/>
  <c r="L32" i="17"/>
  <c r="J23" i="17"/>
  <c r="L10" i="17"/>
  <c r="K23" i="17"/>
  <c r="L18" i="17"/>
  <c r="I42" i="17"/>
  <c r="L35" i="17"/>
  <c r="L36" i="17"/>
  <c r="L38" i="17"/>
  <c r="L13" i="17"/>
  <c r="J14" i="17"/>
  <c r="K14" i="17"/>
  <c r="L37" i="17"/>
  <c r="L39" i="17"/>
  <c r="L22" i="17"/>
  <c r="L25" i="17"/>
  <c r="L21" i="17"/>
  <c r="L19" i="17"/>
  <c r="L11" i="17"/>
  <c r="L20" i="17"/>
  <c r="L12" i="17"/>
  <c r="N40" i="17" l="1"/>
  <c r="O31" i="17"/>
  <c r="P31" i="17" s="1"/>
  <c r="W98" i="3"/>
  <c r="O90" i="3"/>
  <c r="W90" i="3" s="1"/>
  <c r="X90" i="3" s="1"/>
  <c r="AD90" i="3" s="1"/>
  <c r="L14" i="17"/>
  <c r="P12" i="17"/>
  <c r="N14" i="17"/>
  <c r="P14" i="17" s="1"/>
  <c r="B39" i="13"/>
  <c r="B50" i="13" s="1"/>
  <c r="L40" i="17"/>
  <c r="N23" i="17"/>
  <c r="P23" i="17" s="1"/>
  <c r="L23" i="17"/>
  <c r="K42" i="17"/>
  <c r="O40" i="17" l="1"/>
  <c r="P40" i="17" s="1"/>
  <c r="X98" i="3"/>
  <c r="J42" i="17"/>
  <c r="L42" i="17"/>
  <c r="R6" i="2" s="1"/>
  <c r="R7" i="2" s="1"/>
  <c r="AD98" i="3" l="1"/>
  <c r="O42" i="17"/>
  <c r="P42" i="17" s="1"/>
  <c r="L7" i="17"/>
  <c r="H34" i="2" l="1"/>
  <c r="B15" i="13" l="1"/>
  <c r="B14" i="13"/>
  <c r="B13" i="13"/>
  <c r="B12" i="13"/>
  <c r="B11" i="13"/>
  <c r="B10" i="13"/>
  <c r="B9" i="13"/>
  <c r="B8" i="13"/>
  <c r="B16" i="13" s="1"/>
  <c r="B17" i="13" s="1"/>
  <c r="B51" i="13" s="1"/>
  <c r="B52" i="13" s="1"/>
  <c r="C19" i="2" l="1"/>
  <c r="D51" i="17"/>
  <c r="D41" i="17"/>
  <c r="B36" i="7"/>
  <c r="D45" i="17"/>
  <c r="D36" i="7" l="1"/>
  <c r="D28" i="7"/>
  <c r="D31" i="7"/>
  <c r="K13" i="2"/>
  <c r="K19" i="2" s="1"/>
  <c r="D56" i="17"/>
  <c r="D55" i="17"/>
  <c r="D54" i="17"/>
  <c r="D35" i="7"/>
  <c r="D37" i="7"/>
  <c r="D34" i="7"/>
  <c r="M19" i="2"/>
  <c r="M37" i="2"/>
  <c r="K31" i="2" l="1"/>
  <c r="K37" i="2" s="1"/>
  <c r="K39" i="2" s="1"/>
  <c r="M39" i="2"/>
  <c r="D53" i="17"/>
  <c r="D30" i="7"/>
  <c r="D33" i="7"/>
  <c r="C37" i="2" l="1"/>
  <c r="C39" i="2" s="1"/>
  <c r="H31" i="2"/>
  <c r="I11" i="23"/>
  <c r="I12" i="23"/>
  <c r="I13" i="23"/>
  <c r="I14" i="23"/>
  <c r="C13" i="7"/>
  <c r="B52" i="17"/>
  <c r="D52" i="17" s="1"/>
  <c r="C42" i="17"/>
  <c r="D50" i="17"/>
  <c r="D32" i="7"/>
  <c r="D14" i="25" l="1"/>
  <c r="C12" i="26" l="1"/>
  <c r="D7" i="25"/>
  <c r="D3" i="25"/>
  <c r="D6" i="25"/>
  <c r="D5" i="25"/>
  <c r="D8" i="25"/>
  <c r="D4" i="25"/>
  <c r="D29" i="7" l="1"/>
  <c r="J15" i="2"/>
  <c r="I10" i="23"/>
  <c r="I9" i="23"/>
  <c r="I7" i="23" l="1"/>
  <c r="I2" i="23"/>
  <c r="I3" i="23"/>
  <c r="I4" i="23"/>
  <c r="I5" i="23"/>
  <c r="I6" i="23"/>
  <c r="J28" i="2" l="1"/>
  <c r="J6" i="21"/>
  <c r="J7" i="21"/>
  <c r="I32" i="21" l="1"/>
  <c r="C30" i="21"/>
  <c r="D30" i="21"/>
  <c r="E30" i="21"/>
  <c r="F30" i="21"/>
  <c r="G30" i="21"/>
  <c r="H30" i="21"/>
  <c r="B30" i="21"/>
  <c r="L24" i="22"/>
  <c r="K17" i="22"/>
  <c r="F16" i="22"/>
  <c r="H16" i="22" s="1"/>
  <c r="H15" i="22"/>
  <c r="F15" i="22"/>
  <c r="H14" i="22"/>
  <c r="I14" i="22" s="1"/>
  <c r="J14" i="22" s="1"/>
  <c r="L14" i="22" s="1"/>
  <c r="H13" i="22"/>
  <c r="F13" i="22"/>
  <c r="I13" i="22" s="1"/>
  <c r="F12" i="22"/>
  <c r="K10" i="22"/>
  <c r="K19" i="22" s="1"/>
  <c r="F9" i="22"/>
  <c r="H9" i="22" s="1"/>
  <c r="H8" i="22"/>
  <c r="F8" i="22"/>
  <c r="H7" i="22"/>
  <c r="F7" i="22"/>
  <c r="H6" i="22"/>
  <c r="F6" i="22"/>
  <c r="C13" i="21"/>
  <c r="D13" i="21"/>
  <c r="E13" i="21"/>
  <c r="F13" i="21"/>
  <c r="G13" i="21"/>
  <c r="H13" i="21"/>
  <c r="B13" i="21"/>
  <c r="J8" i="21"/>
  <c r="J9" i="21"/>
  <c r="J10" i="21"/>
  <c r="J11" i="21"/>
  <c r="J12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1" i="21"/>
  <c r="J33" i="21"/>
  <c r="F17" i="22" l="1"/>
  <c r="J16" i="22"/>
  <c r="L16" i="22" s="1"/>
  <c r="R16" i="22" s="1"/>
  <c r="I7" i="22"/>
  <c r="J7" i="22" s="1"/>
  <c r="L7" i="22" s="1"/>
  <c r="R7" i="22" s="1"/>
  <c r="F10" i="22"/>
  <c r="J9" i="22"/>
  <c r="L9" i="22" s="1"/>
  <c r="R9" i="22" s="1"/>
  <c r="H32" i="21"/>
  <c r="D32" i="21"/>
  <c r="J13" i="21"/>
  <c r="G32" i="21"/>
  <c r="C32" i="21"/>
  <c r="F32" i="21"/>
  <c r="B32" i="21"/>
  <c r="E32" i="21"/>
  <c r="J30" i="21"/>
  <c r="J13" i="22"/>
  <c r="L13" i="22" s="1"/>
  <c r="R13" i="22" s="1"/>
  <c r="F19" i="22"/>
  <c r="H12" i="22"/>
  <c r="I8" i="22"/>
  <c r="J8" i="22" s="1"/>
  <c r="L8" i="22" s="1"/>
  <c r="R8" i="22" s="1"/>
  <c r="J12" i="22"/>
  <c r="I15" i="22"/>
  <c r="I17" i="22" s="1"/>
  <c r="I6" i="22"/>
  <c r="J15" i="22" l="1"/>
  <c r="L15" i="22" s="1"/>
  <c r="R15" i="22" s="1"/>
  <c r="J32" i="21"/>
  <c r="L12" i="22"/>
  <c r="J17" i="22"/>
  <c r="J6" i="22"/>
  <c r="I10" i="22"/>
  <c r="I19" i="22" s="1"/>
  <c r="H19" i="22" s="1"/>
  <c r="J10" i="22" l="1"/>
  <c r="J19" i="22" s="1"/>
  <c r="L6" i="22"/>
  <c r="L17" i="22"/>
  <c r="R12" i="22"/>
  <c r="L10" i="22" l="1"/>
  <c r="L19" i="22" s="1"/>
  <c r="L27" i="22" s="1"/>
  <c r="O6" i="22"/>
  <c r="P6" i="22"/>
  <c r="N6" i="22"/>
  <c r="R6" i="22"/>
  <c r="R22" i="22" s="1"/>
  <c r="H26" i="2" l="1"/>
  <c r="E49" i="2" l="1"/>
  <c r="E55" i="2" l="1"/>
  <c r="E50" i="2"/>
  <c r="E57" i="2"/>
  <c r="E54" i="2" l="1"/>
  <c r="E47" i="2"/>
  <c r="E67" i="2" l="1"/>
  <c r="E66" i="2"/>
  <c r="C8" i="11" l="1"/>
  <c r="C8" i="9" l="1"/>
  <c r="C25" i="7" l="1"/>
  <c r="B25" i="7"/>
  <c r="C21" i="7"/>
  <c r="B21" i="7"/>
  <c r="D20" i="7"/>
  <c r="D18" i="7"/>
  <c r="D16" i="7"/>
  <c r="C17" i="7"/>
  <c r="B17" i="7"/>
  <c r="D15" i="7"/>
  <c r="D12" i="7"/>
  <c r="D11" i="7"/>
  <c r="D10" i="7"/>
  <c r="B13" i="7"/>
  <c r="C9" i="7"/>
  <c r="B9" i="7"/>
  <c r="D8" i="7"/>
  <c r="C26" i="11"/>
  <c r="D25" i="11"/>
  <c r="D24" i="11"/>
  <c r="D23" i="11"/>
  <c r="D22" i="11"/>
  <c r="B26" i="7" l="1"/>
  <c r="B39" i="7" s="1"/>
  <c r="C26" i="7"/>
  <c r="C39" i="7" s="1"/>
  <c r="D25" i="7"/>
  <c r="D26" i="11"/>
  <c r="D9" i="7"/>
  <c r="D21" i="7"/>
  <c r="D17" i="7"/>
  <c r="D13" i="7"/>
  <c r="D26" i="7" l="1"/>
  <c r="D39" i="7" s="1"/>
  <c r="C9" i="11"/>
  <c r="B9" i="11"/>
  <c r="B17" i="11"/>
  <c r="D8" i="11"/>
  <c r="D9" i="11" l="1"/>
  <c r="B26" i="11"/>
  <c r="D18" i="11" l="1"/>
  <c r="B21" i="11"/>
  <c r="B27" i="11" s="1"/>
  <c r="C17" i="11"/>
  <c r="D17" i="11" s="1"/>
  <c r="C21" i="11"/>
  <c r="D21" i="11" s="1"/>
  <c r="D20" i="11"/>
  <c r="D14" i="11"/>
  <c r="D15" i="11"/>
  <c r="D16" i="11"/>
  <c r="D13" i="11"/>
  <c r="D12" i="11"/>
  <c r="C27" i="11" l="1"/>
  <c r="D27" i="11" s="1"/>
  <c r="D18" i="19" l="1"/>
  <c r="D49" i="17" l="1"/>
  <c r="D47" i="17"/>
  <c r="D48" i="17"/>
  <c r="B46" i="17"/>
  <c r="B57" i="17" s="1"/>
  <c r="C46" i="17"/>
  <c r="C57" i="17" s="1"/>
  <c r="D46" i="17"/>
  <c r="D42" i="17" l="1"/>
  <c r="D57" i="17" s="1"/>
  <c r="H17" i="2" l="1"/>
  <c r="H32" i="2"/>
  <c r="H27" i="2" l="1"/>
  <c r="J13" i="2"/>
  <c r="J19" i="2" s="1"/>
  <c r="E19" i="2"/>
  <c r="H14" i="2"/>
  <c r="H33" i="2" l="1"/>
  <c r="H28" i="2"/>
  <c r="H25" i="2"/>
  <c r="H30" i="2"/>
  <c r="H29" i="2"/>
  <c r="J37" i="2"/>
  <c r="J39" i="2" s="1"/>
  <c r="D6" i="19"/>
  <c r="D7" i="19"/>
  <c r="C8" i="19"/>
  <c r="C9" i="19" s="1"/>
  <c r="B9" i="19"/>
  <c r="D10" i="19"/>
  <c r="D11" i="19"/>
  <c r="C13" i="19"/>
  <c r="D12" i="19"/>
  <c r="B13" i="19"/>
  <c r="D14" i="19"/>
  <c r="C16" i="19"/>
  <c r="D15" i="19"/>
  <c r="B16" i="19"/>
  <c r="D17" i="19"/>
  <c r="C19" i="19"/>
  <c r="D20" i="19"/>
  <c r="H13" i="2" l="1"/>
  <c r="D13" i="19"/>
  <c r="D8" i="19"/>
  <c r="D16" i="19"/>
  <c r="C21" i="19"/>
  <c r="C22" i="19" s="1"/>
  <c r="D9" i="19"/>
  <c r="B19" i="19"/>
  <c r="B21" i="19" s="1"/>
  <c r="B37" i="2" l="1"/>
  <c r="H24" i="2"/>
  <c r="B40" i="7"/>
  <c r="B41" i="7" s="1"/>
  <c r="C40" i="7"/>
  <c r="D19" i="19"/>
  <c r="N24" i="2" l="1"/>
  <c r="H16" i="2"/>
  <c r="D19" i="2"/>
  <c r="N12" i="2"/>
  <c r="C41" i="7"/>
  <c r="D41" i="7" s="1"/>
  <c r="D40" i="7"/>
  <c r="D21" i="19"/>
  <c r="B22" i="19"/>
  <c r="D22" i="19" s="1"/>
  <c r="F41" i="17" l="1"/>
  <c r="N33" i="2" l="1"/>
  <c r="N14" i="2"/>
  <c r="N17" i="2"/>
  <c r="E23" i="2"/>
  <c r="E37" i="2" s="1"/>
  <c r="H23" i="2"/>
  <c r="N34" i="2"/>
  <c r="E56" i="2"/>
  <c r="N23" i="2" l="1"/>
  <c r="H37" i="2"/>
  <c r="B19" i="2"/>
  <c r="B39" i="2" s="1"/>
  <c r="H15" i="2"/>
  <c r="H19" i="2" s="1"/>
  <c r="E39" i="2"/>
  <c r="E52" i="2"/>
  <c r="N28" i="2"/>
  <c r="E69" i="2"/>
  <c r="E59" i="2"/>
  <c r="D37" i="2"/>
  <c r="N26" i="2"/>
  <c r="N30" i="2"/>
  <c r="N29" i="2"/>
  <c r="N31" i="2"/>
  <c r="N25" i="2"/>
  <c r="H39" i="2" l="1"/>
  <c r="D39" i="2"/>
  <c r="N15" i="2"/>
  <c r="E62" i="2"/>
  <c r="N16" i="2"/>
  <c r="N32" i="2"/>
  <c r="N27" i="2"/>
  <c r="N13" i="2"/>
  <c r="W29" i="14"/>
  <c r="W28" i="14"/>
  <c r="W27" i="14"/>
  <c r="W26" i="14"/>
  <c r="W25" i="14"/>
  <c r="W24" i="14"/>
  <c r="W23" i="14"/>
  <c r="W22" i="14"/>
  <c r="W21" i="14"/>
  <c r="W17" i="14"/>
  <c r="W16" i="14"/>
  <c r="W15" i="14"/>
  <c r="W14" i="14"/>
  <c r="W13" i="14"/>
  <c r="W12" i="14"/>
  <c r="W11" i="14"/>
  <c r="W8" i="14"/>
  <c r="W7" i="14"/>
  <c r="AC18" i="14"/>
  <c r="N37" i="2" l="1"/>
  <c r="AA18" i="14" l="1"/>
  <c r="L7" i="14"/>
  <c r="I32" i="14"/>
  <c r="H32" i="14"/>
  <c r="G32" i="14"/>
  <c r="E32" i="14"/>
  <c r="D32" i="14"/>
  <c r="M30" i="14"/>
  <c r="L30" i="14"/>
  <c r="K30" i="14"/>
  <c r="Q28" i="14"/>
  <c r="P28" i="14"/>
  <c r="K28" i="14"/>
  <c r="Q27" i="14"/>
  <c r="P27" i="14"/>
  <c r="M26" i="14"/>
  <c r="L26" i="14"/>
  <c r="K26" i="14"/>
  <c r="M25" i="14"/>
  <c r="L25" i="14"/>
  <c r="K25" i="14"/>
  <c r="M24" i="14"/>
  <c r="L24" i="14"/>
  <c r="K24" i="14"/>
  <c r="M23" i="14"/>
  <c r="L23" i="14"/>
  <c r="K23" i="14"/>
  <c r="M22" i="14"/>
  <c r="L22" i="14"/>
  <c r="K22" i="14"/>
  <c r="M21" i="14"/>
  <c r="L21" i="14"/>
  <c r="K21" i="14"/>
  <c r="Q18" i="14"/>
  <c r="P18" i="14"/>
  <c r="O18" i="14"/>
  <c r="I18" i="14"/>
  <c r="H18" i="14"/>
  <c r="G18" i="14"/>
  <c r="E18" i="14"/>
  <c r="D18" i="14"/>
  <c r="M17" i="14"/>
  <c r="L17" i="14"/>
  <c r="K17" i="14"/>
  <c r="M16" i="14"/>
  <c r="L16" i="14"/>
  <c r="K16" i="14"/>
  <c r="M15" i="14"/>
  <c r="L15" i="14"/>
  <c r="K15" i="14"/>
  <c r="M14" i="14"/>
  <c r="L14" i="14"/>
  <c r="K14" i="14"/>
  <c r="M13" i="14"/>
  <c r="L13" i="14"/>
  <c r="K13" i="14"/>
  <c r="L12" i="14"/>
  <c r="K12" i="14"/>
  <c r="M8" i="14"/>
  <c r="L8" i="14"/>
  <c r="K8" i="14"/>
  <c r="M7" i="14"/>
  <c r="K7" i="14"/>
  <c r="M18" i="14" l="1"/>
  <c r="L18" i="14"/>
  <c r="E34" i="14"/>
  <c r="O29" i="14"/>
  <c r="O32" i="14" s="1"/>
  <c r="K18" i="14"/>
  <c r="D34" i="14"/>
  <c r="I34" i="14"/>
  <c r="P29" i="14"/>
  <c r="L29" i="14" s="1"/>
  <c r="L32" i="14" s="1"/>
  <c r="H34" i="14"/>
  <c r="G34" i="14"/>
  <c r="G36" i="14" s="1"/>
  <c r="Q29" i="14"/>
  <c r="M29" i="14" s="1"/>
  <c r="M32" i="14" s="1"/>
  <c r="AC32" i="14" l="1"/>
  <c r="AC34" i="14" s="1"/>
  <c r="O34" i="14"/>
  <c r="O36" i="14" s="1"/>
  <c r="M34" i="14"/>
  <c r="L34" i="14"/>
  <c r="K29" i="14"/>
  <c r="K32" i="14" s="1"/>
  <c r="P32" i="14"/>
  <c r="H36" i="14"/>
  <c r="I36" i="14" s="1"/>
  <c r="Q32" i="14"/>
  <c r="P34" i="14" l="1"/>
  <c r="P36" i="14" s="1"/>
  <c r="Q34" i="14"/>
  <c r="K34" i="14"/>
  <c r="K36" i="14" s="1"/>
  <c r="L36" i="14" s="1"/>
  <c r="M36" i="14" s="1"/>
  <c r="Q36" i="14" l="1"/>
  <c r="D3" i="2"/>
  <c r="D1" i="9" l="1"/>
  <c r="B44" i="2"/>
  <c r="B10" i="5"/>
  <c r="B9" i="5"/>
  <c r="F8" i="11" l="1"/>
  <c r="I33" i="6"/>
  <c r="I35" i="6" s="1"/>
  <c r="H33" i="6"/>
  <c r="H35" i="6" s="1"/>
  <c r="G33" i="6"/>
  <c r="G35" i="6" s="1"/>
  <c r="E33" i="6"/>
  <c r="E35" i="6" s="1"/>
  <c r="D33" i="6"/>
  <c r="D35" i="6" s="1"/>
  <c r="M31" i="6"/>
  <c r="L31" i="6"/>
  <c r="K31" i="6"/>
  <c r="Q29" i="6"/>
  <c r="P29" i="6"/>
  <c r="K29" i="6"/>
  <c r="Q28" i="6"/>
  <c r="P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Q18" i="6"/>
  <c r="P18" i="6"/>
  <c r="O18" i="6"/>
  <c r="I18" i="6"/>
  <c r="H18" i="6"/>
  <c r="G18" i="6"/>
  <c r="E18" i="6"/>
  <c r="D18" i="6"/>
  <c r="D37" i="6" s="1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L12" i="6"/>
  <c r="K12" i="6"/>
  <c r="M8" i="6"/>
  <c r="L8" i="6"/>
  <c r="K8" i="6"/>
  <c r="M7" i="6"/>
  <c r="L7" i="6"/>
  <c r="K7" i="6"/>
  <c r="M18" i="6" l="1"/>
  <c r="E37" i="6"/>
  <c r="K18" i="6"/>
  <c r="I37" i="6"/>
  <c r="L18" i="6"/>
  <c r="G37" i="6"/>
  <c r="G39" i="6" s="1"/>
  <c r="H37" i="6"/>
  <c r="O30" i="6"/>
  <c r="P30" i="6"/>
  <c r="L30" i="6" s="1"/>
  <c r="L33" i="6" s="1"/>
  <c r="L35" i="6" s="1"/>
  <c r="L37" i="6" s="1"/>
  <c r="Q30" i="6"/>
  <c r="H39" i="6" l="1"/>
  <c r="I39" i="6" s="1"/>
  <c r="P33" i="6"/>
  <c r="P35" i="6" s="1"/>
  <c r="P37" i="6" s="1"/>
  <c r="M30" i="6"/>
  <c r="M33" i="6" s="1"/>
  <c r="M35" i="6" s="1"/>
  <c r="M37" i="6" s="1"/>
  <c r="Q33" i="6"/>
  <c r="Q35" i="6" s="1"/>
  <c r="Q37" i="6" s="1"/>
  <c r="O33" i="6"/>
  <c r="O35" i="6" s="1"/>
  <c r="O37" i="6" s="1"/>
  <c r="O39" i="6" s="1"/>
  <c r="K30" i="6"/>
  <c r="K33" i="6" l="1"/>
  <c r="K35" i="6" s="1"/>
  <c r="K37" i="6" s="1"/>
  <c r="K39" i="6" s="1"/>
  <c r="L39" i="6" s="1"/>
  <c r="M39" i="6" s="1"/>
  <c r="P39" i="6"/>
  <c r="Q39" i="6" s="1"/>
  <c r="D39" i="5" l="1"/>
  <c r="G48" i="5" l="1"/>
  <c r="G40" i="5"/>
  <c r="G35" i="5"/>
  <c r="G29" i="5"/>
  <c r="G30" i="5" s="1"/>
  <c r="G17" i="5"/>
  <c r="G24" i="5"/>
  <c r="G25" i="5" s="1"/>
  <c r="G31" i="5" s="1"/>
  <c r="H29" i="5"/>
  <c r="H30" i="5" s="1"/>
  <c r="F29" i="5"/>
  <c r="F30" i="5" s="1"/>
  <c r="E29" i="5"/>
  <c r="D29" i="5"/>
  <c r="D30" i="5" s="1"/>
  <c r="J28" i="5"/>
  <c r="B29" i="5"/>
  <c r="B30" i="5" s="1"/>
  <c r="G41" i="5" l="1"/>
  <c r="G42" i="5" s="1"/>
  <c r="G43" i="5" s="1"/>
  <c r="G44" i="5" s="1"/>
  <c r="E30" i="5"/>
  <c r="H11" i="5" l="1"/>
  <c r="J9" i="5"/>
  <c r="D40" i="5"/>
  <c r="J10" i="5"/>
  <c r="D11" i="5"/>
  <c r="E11" i="5"/>
  <c r="E48" i="5"/>
  <c r="F11" i="5"/>
  <c r="J14" i="5"/>
  <c r="J15" i="5"/>
  <c r="J16" i="5"/>
  <c r="B17" i="5"/>
  <c r="D17" i="5"/>
  <c r="E17" i="5"/>
  <c r="F17" i="5"/>
  <c r="H17" i="5"/>
  <c r="J20" i="5"/>
  <c r="J21" i="5"/>
  <c r="J22" i="5"/>
  <c r="J23" i="5"/>
  <c r="B24" i="5"/>
  <c r="B25" i="5" s="1"/>
  <c r="D24" i="5"/>
  <c r="D25" i="5" s="1"/>
  <c r="E24" i="5"/>
  <c r="E25" i="5" s="1"/>
  <c r="F24" i="5"/>
  <c r="F25" i="5" s="1"/>
  <c r="H24" i="5"/>
  <c r="H25" i="5" s="1"/>
  <c r="J26" i="5"/>
  <c r="J27" i="5"/>
  <c r="J29" i="5" s="1"/>
  <c r="J30" i="5" s="1"/>
  <c r="J33" i="5"/>
  <c r="J34" i="5"/>
  <c r="B35" i="5"/>
  <c r="D35" i="5"/>
  <c r="E35" i="5"/>
  <c r="F35" i="5"/>
  <c r="H35" i="5"/>
  <c r="J37" i="5"/>
  <c r="J38" i="5"/>
  <c r="B40" i="5"/>
  <c r="E40" i="5"/>
  <c r="F40" i="5"/>
  <c r="H40" i="5"/>
  <c r="J46" i="5"/>
  <c r="D48" i="5"/>
  <c r="B48" i="5"/>
  <c r="F48" i="5"/>
  <c r="H48" i="5"/>
  <c r="J47" i="5"/>
  <c r="H31" i="5" l="1"/>
  <c r="E31" i="5"/>
  <c r="J35" i="5"/>
  <c r="D31" i="5"/>
  <c r="F31" i="5"/>
  <c r="J48" i="5"/>
  <c r="B11" i="5"/>
  <c r="E41" i="5"/>
  <c r="E42" i="5" s="1"/>
  <c r="E43" i="5" s="1"/>
  <c r="E44" i="5" s="1"/>
  <c r="J17" i="5"/>
  <c r="J39" i="5"/>
  <c r="H41" i="5"/>
  <c r="H42" i="5"/>
  <c r="H43" i="5" s="1"/>
  <c r="H44" i="5" s="1"/>
  <c r="B31" i="5"/>
  <c r="D41" i="5"/>
  <c r="F41" i="5"/>
  <c r="B41" i="5"/>
  <c r="J24" i="5"/>
  <c r="J11" i="5"/>
  <c r="F42" i="5" l="1"/>
  <c r="F43" i="5" s="1"/>
  <c r="F44" i="5" s="1"/>
  <c r="J40" i="5"/>
  <c r="J41" i="5" s="1"/>
  <c r="D42" i="5"/>
  <c r="D43" i="5" s="1"/>
  <c r="D44" i="5" s="1"/>
  <c r="B42" i="5"/>
  <c r="B43" i="5" s="1"/>
  <c r="B44" i="5" s="1"/>
  <c r="J25" i="5"/>
  <c r="J31" i="5" l="1"/>
  <c r="J42" i="5" s="1"/>
  <c r="J43" i="5" s="1"/>
  <c r="J44" i="5" s="1"/>
  <c r="W18" i="14" l="1"/>
  <c r="Y18" i="14"/>
  <c r="Y30" i="14"/>
  <c r="Y32" i="14" s="1"/>
  <c r="W32" i="14"/>
  <c r="W34" i="14" s="1"/>
  <c r="AA32" i="14"/>
  <c r="AA34" i="14" s="1"/>
  <c r="Y3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tc={77426103-B555-4EBC-8383-52DB4893D464}</author>
  </authors>
  <commentList>
    <comment ref="B26" authorId="0" shapeId="0" xr:uid="{77426103-B555-4EBC-8383-52DB4893D464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provision for repairs and maintenance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tc={2B0B2B8E-B576-4C62-A131-81331ADC8B81}</author>
  </authors>
  <commentList>
    <comment ref="B52" authorId="0" shapeId="0" xr:uid="{2B0B2B8E-B576-4C62-A131-81331ADC8B8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balance Bumpz to Babez moved to Youthwork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tc={48534462-DFA6-444E-B985-BA47D1D38B0C}</author>
    <author>tc={1F5F4206-21B5-4FE7-88CE-52A2846F2279}</author>
  </authors>
  <commentList>
    <comment ref="D20" authorId="0" shapeId="0" xr:uid="{48534462-DFA6-444E-B985-BA47D1D38B0C}">
      <text>
        <t>[Threaded comment]
Your version of Excel allows you to read this threaded comment; however, any edits to it will get removed if the file is opened in a newer version of Excel. Learn more: https://go.microsoft.com/fwlink/?linkid=870924
Comment:
    invoice for £1196.10 raised and paid in October</t>
      </text>
    </comment>
    <comment ref="B30" authorId="1" shapeId="0" xr:uid="{1F5F4206-21B5-4FE7-88CE-52A2846F2279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Byumpz to Babez moved to Youthwork for purchasing the screen</t>
      </text>
    </comment>
  </commentList>
</comments>
</file>

<file path=xl/sharedStrings.xml><?xml version="1.0" encoding="utf-8"?>
<sst xmlns="http://schemas.openxmlformats.org/spreadsheetml/2006/main" count="811" uniqueCount="507">
  <si>
    <t>theKenilworthCentre</t>
  </si>
  <si>
    <t>Youthwork</t>
  </si>
  <si>
    <t>Projects</t>
  </si>
  <si>
    <t>Incoming Resources</t>
  </si>
  <si>
    <t>Resources Expended</t>
  </si>
  <si>
    <t>Administrative Costs</t>
  </si>
  <si>
    <t>Governance costs</t>
  </si>
  <si>
    <t>£</t>
  </si>
  <si>
    <t>Net Fixed Assets</t>
  </si>
  <si>
    <t>Debtors and Prepayments</t>
  </si>
  <si>
    <t>Cash at Bank and In Hand</t>
  </si>
  <si>
    <t>Total Current Assets</t>
  </si>
  <si>
    <t>Trade Creditors</t>
  </si>
  <si>
    <t>Accruals and Provisions</t>
  </si>
  <si>
    <t>Tax Payable</t>
  </si>
  <si>
    <t>Total Current Liabilities</t>
  </si>
  <si>
    <t>Total Net Assets</t>
  </si>
  <si>
    <t>Represented By:</t>
  </si>
  <si>
    <t>Accumulated Funds b/f</t>
  </si>
  <si>
    <t>Net funds movement for period to date</t>
  </si>
  <si>
    <t>Total Reserves</t>
  </si>
  <si>
    <t>Trustees report summary</t>
  </si>
  <si>
    <t>Results to</t>
  </si>
  <si>
    <t>Radio Abbey</t>
  </si>
  <si>
    <t>Income from lettings and licence fees</t>
  </si>
  <si>
    <t>Donations and fundraising</t>
  </si>
  <si>
    <t>Grants</t>
  </si>
  <si>
    <t>Other income</t>
  </si>
  <si>
    <t>Investment Income (interest)</t>
  </si>
  <si>
    <t>Direct costs of Lettings</t>
  </si>
  <si>
    <t>Staff and Staff-related Costs</t>
  </si>
  <si>
    <t>Rent, Rates, Utilities and Insurance</t>
  </si>
  <si>
    <t>Property Maintenance &amp; Security</t>
  </si>
  <si>
    <t>Equipment Maintenance,                            replacement and depreciation</t>
  </si>
  <si>
    <t>Advertising, Marketing and publicity</t>
  </si>
  <si>
    <t>Youthwork activities</t>
  </si>
  <si>
    <t>Project Costs</t>
  </si>
  <si>
    <t>Governance Costs</t>
  </si>
  <si>
    <t>Total resources expended</t>
  </si>
  <si>
    <t>Net Incoming/ (outgoing) resources</t>
  </si>
  <si>
    <t>Balance</t>
  </si>
  <si>
    <t>Transition</t>
  </si>
  <si>
    <t>Warwick Area Fund</t>
  </si>
  <si>
    <t>Big Society Fund</t>
  </si>
  <si>
    <t>Youthwork Projects</t>
  </si>
  <si>
    <t>Detached Work</t>
  </si>
  <si>
    <t>Bumps to Babez</t>
  </si>
  <si>
    <t>Crimebeat</t>
  </si>
  <si>
    <t>Total Grants and Designated Funds</t>
  </si>
  <si>
    <t>Funds Analysis</t>
  </si>
  <si>
    <t>Total Restricted Funds</t>
  </si>
  <si>
    <t>Property and General</t>
  </si>
  <si>
    <t>Cinema</t>
  </si>
  <si>
    <t>Total Unrestricted Funds</t>
  </si>
  <si>
    <t>TOTAL</t>
  </si>
  <si>
    <t>Income</t>
  </si>
  <si>
    <t xml:space="preserve">   1000 Gifts and Donations</t>
  </si>
  <si>
    <t xml:space="preserve">      1020 Non-gift aided donations</t>
  </si>
  <si>
    <t xml:space="preserve">   Total 1000 Gifts and Donations</t>
  </si>
  <si>
    <t xml:space="preserve">   1200 Income from Room Hires and Lettings</t>
  </si>
  <si>
    <t xml:space="preserve">      1220 Regular lettings</t>
  </si>
  <si>
    <t xml:space="preserve">      1240 One-off lettings</t>
  </si>
  <si>
    <t xml:space="preserve">   Total 1200 Income from Room Hires and Lettings</t>
  </si>
  <si>
    <t xml:space="preserve">   1300 Subscriptions</t>
  </si>
  <si>
    <t xml:space="preserve">      1310 Junior Youth Club Subscriptions</t>
  </si>
  <si>
    <t xml:space="preserve">      1330 Cinema Subscriptions</t>
  </si>
  <si>
    <t xml:space="preserve">   Total 1300 Subscriptions</t>
  </si>
  <si>
    <t xml:space="preserve">   1400 Grant Income</t>
  </si>
  <si>
    <t xml:space="preserve">   1500 Miscellaneous Income</t>
  </si>
  <si>
    <t xml:space="preserve">   1600 Tuck shop sales</t>
  </si>
  <si>
    <t>Total Income</t>
  </si>
  <si>
    <t>Gross Profit</t>
  </si>
  <si>
    <t>Expenses</t>
  </si>
  <si>
    <t xml:space="preserve">      3010 Salaries - Admin and Management</t>
  </si>
  <si>
    <t xml:space="preserve">      3020 Salaries - Premises</t>
  </si>
  <si>
    <t xml:space="preserve">      3030 Salaries - Youth Workers</t>
  </si>
  <si>
    <t xml:space="preserve">      3040 Contract staff costs</t>
  </si>
  <si>
    <t xml:space="preserve">      3090 Employers National Insurance Contributions</t>
  </si>
  <si>
    <t xml:space="preserve">   3100 Other staff costs</t>
  </si>
  <si>
    <t xml:space="preserve">      3150 Staff refreshments and welfare</t>
  </si>
  <si>
    <t xml:space="preserve">   Total 3100 Other staff costs</t>
  </si>
  <si>
    <t xml:space="preserve">   4000 Premises Costs</t>
  </si>
  <si>
    <t xml:space="preserve">      4020 Rates</t>
  </si>
  <si>
    <t xml:space="preserve">      4100 Utilities</t>
  </si>
  <si>
    <t xml:space="preserve">         4110 Gas</t>
  </si>
  <si>
    <t xml:space="preserve">         4120 Electricity</t>
  </si>
  <si>
    <t xml:space="preserve">         4130 Water</t>
  </si>
  <si>
    <t xml:space="preserve">         4140 Refuse collection and Waste Disposal</t>
  </si>
  <si>
    <t xml:space="preserve">      Total 4100 Utilities</t>
  </si>
  <si>
    <t xml:space="preserve">      4400 Property Repairs and Maintenance</t>
  </si>
  <si>
    <t xml:space="preserve">         4410 Maintenance Contracts</t>
  </si>
  <si>
    <t xml:space="preserve">      Total 4400 Property Repairs and Maintenance</t>
  </si>
  <si>
    <t xml:space="preserve">      4500 Cleaning Materials</t>
  </si>
  <si>
    <t xml:space="preserve">   Total 4000 Premises Costs</t>
  </si>
  <si>
    <t xml:space="preserve">   5000 Equipment costs</t>
  </si>
  <si>
    <t xml:space="preserve">      5040 Other Small Tools and Equipment</t>
  </si>
  <si>
    <t xml:space="preserve">   Total 5000 Equipment costs</t>
  </si>
  <si>
    <t xml:space="preserve">   6000 Administration Costs</t>
  </si>
  <si>
    <t xml:space="preserve">      6030 Office Supplies and Stationery</t>
  </si>
  <si>
    <t xml:space="preserve">      6050 IT Licences</t>
  </si>
  <si>
    <t xml:space="preserve">      6060 Other Licences</t>
  </si>
  <si>
    <t xml:space="preserve">      6070 Dues and Subscriptions</t>
  </si>
  <si>
    <t xml:space="preserve">      6300 Bought-in Admin Services</t>
  </si>
  <si>
    <t xml:space="preserve">   Total 6000 Administration Costs</t>
  </si>
  <si>
    <t xml:space="preserve">   7000 Youthwork Costs</t>
  </si>
  <si>
    <t xml:space="preserve">      7010 Youthwork materials and consumables</t>
  </si>
  <si>
    <t xml:space="preserve">      7040 Tuck shop expenses</t>
  </si>
  <si>
    <t xml:space="preserve">   Total 7000 Youthwork Costs</t>
  </si>
  <si>
    <t xml:space="preserve">   8000 Governance Costs</t>
  </si>
  <si>
    <t>Total Expenses</t>
  </si>
  <si>
    <t>Net Operating Income</t>
  </si>
  <si>
    <t>Net Income</t>
  </si>
  <si>
    <t>Balance Sheet</t>
  </si>
  <si>
    <t>Total per</t>
  </si>
  <si>
    <t>Adjustments</t>
  </si>
  <si>
    <t>QB</t>
  </si>
  <si>
    <t>Tax and NI</t>
  </si>
  <si>
    <t>Rounding</t>
  </si>
  <si>
    <t>Revised</t>
  </si>
  <si>
    <t xml:space="preserve"> </t>
  </si>
  <si>
    <t>payment in advance</t>
  </si>
  <si>
    <t>adjustment</t>
  </si>
  <si>
    <t xml:space="preserve">    </t>
  </si>
  <si>
    <t xml:space="preserve">      Fixed Asset</t>
  </si>
  <si>
    <t xml:space="preserve">      Cost</t>
  </si>
  <si>
    <t xml:space="preserve">      Accum Depreciation</t>
  </si>
  <si>
    <t xml:space="preserve">      Total Fixed Asset</t>
  </si>
  <si>
    <t xml:space="preserve">       </t>
  </si>
  <si>
    <t xml:space="preserve">         Current Assets</t>
  </si>
  <si>
    <t xml:space="preserve">            0215 Undeposited Funds</t>
  </si>
  <si>
    <t xml:space="preserve">            0230 Prepayments</t>
  </si>
  <si>
    <t xml:space="preserve">         Total Current Assets</t>
  </si>
  <si>
    <t xml:space="preserve">         Cash at bank and in hand</t>
  </si>
  <si>
    <t xml:space="preserve">            0300 Cash at Bank and in Hand</t>
  </si>
  <si>
    <t xml:space="preserve">               0310 No. 1 Account</t>
  </si>
  <si>
    <t xml:space="preserve">               0320 Expenses Account</t>
  </si>
  <si>
    <t xml:space="preserve">               0330 Savings</t>
  </si>
  <si>
    <t xml:space="preserve">               0340 Petty Cash</t>
  </si>
  <si>
    <t xml:space="preserve">            Total 0300 Cash at Bank and in Hand</t>
  </si>
  <si>
    <t xml:space="preserve">         Total Cash at bank and in hand</t>
  </si>
  <si>
    <t xml:space="preserve">         Debtors</t>
  </si>
  <si>
    <t xml:space="preserve">            0210 Lettings Receivables</t>
  </si>
  <si>
    <t xml:space="preserve">         Total Debtors</t>
  </si>
  <si>
    <t xml:space="preserve">         Net current assets</t>
  </si>
  <si>
    <t xml:space="preserve">         Creditors: amounts falling due within one year</t>
  </si>
  <si>
    <t xml:space="preserve">            Trade Creditors</t>
  </si>
  <si>
    <t xml:space="preserve">               0410 Creditors</t>
  </si>
  <si>
    <t xml:space="preserve">            Total Trade Creditors</t>
  </si>
  <si>
    <t xml:space="preserve">            Current Liabilities</t>
  </si>
  <si>
    <t xml:space="preserve">               0420 Tax and National Insurance payable</t>
  </si>
  <si>
    <t xml:space="preserve">               0430 Accruals</t>
  </si>
  <si>
    <t xml:space="preserve">               0450 Customer Deposits/Payments in Advance</t>
  </si>
  <si>
    <t xml:space="preserve">            Total Current Liabilities</t>
  </si>
  <si>
    <t xml:space="preserve">         Total Creditors: amounts falling due within one year</t>
  </si>
  <si>
    <t xml:space="preserve">      Net current assets (liabilities)</t>
  </si>
  <si>
    <t xml:space="preserve">   Total assets less current liabilities</t>
  </si>
  <si>
    <t>Total net assets (liabilities)</t>
  </si>
  <si>
    <t>Capital and Reserves</t>
  </si>
  <si>
    <t xml:space="preserve">   0910 Retained Earnings</t>
  </si>
  <si>
    <t xml:space="preserve">   Profit for the year</t>
  </si>
  <si>
    <t>Total Capital and Reserves</t>
  </si>
  <si>
    <t>the Kenilworth Centre</t>
  </si>
  <si>
    <t>Miscellaneous</t>
  </si>
  <si>
    <t>Summary of Open Restricted Funds</t>
  </si>
  <si>
    <t>2014/15</t>
  </si>
  <si>
    <t>Balance Sheet as at</t>
  </si>
  <si>
    <t>Business Sponsorship</t>
  </si>
  <si>
    <t xml:space="preserve">               0211 Provision for Bad Debts</t>
  </si>
  <si>
    <t xml:space="preserve">            Total 0210 Lettings Receivables</t>
  </si>
  <si>
    <t>Bank</t>
  </si>
  <si>
    <t>Interest</t>
  </si>
  <si>
    <t>2015/16</t>
  </si>
  <si>
    <t xml:space="preserve">      1250 Catering</t>
  </si>
  <si>
    <t>Building Project</t>
  </si>
  <si>
    <t>Youth Activities</t>
  </si>
  <si>
    <t>Restricted</t>
  </si>
  <si>
    <t>Restricted Funds</t>
  </si>
  <si>
    <t>Detached</t>
  </si>
  <si>
    <t>Unrestricted Funds</t>
  </si>
  <si>
    <t xml:space="preserve">      1210 Licence fee income</t>
  </si>
  <si>
    <t xml:space="preserve">      4200 Buildings Insurance</t>
  </si>
  <si>
    <t xml:space="preserve">         4420 Call out charges on maintenance contract</t>
  </si>
  <si>
    <t xml:space="preserve">         4440 Building maintenance and improvement</t>
  </si>
  <si>
    <t xml:space="preserve">   Total 8000 Governance Costs</t>
  </si>
  <si>
    <t>Centre Management</t>
  </si>
  <si>
    <t>NEW BUSINESS PLAN 2016 FINANCIAL SUMMARY</t>
  </si>
  <si>
    <t>TOTAL ALL ACTIVITIES</t>
  </si>
  <si>
    <t>(incl inflation of 2% p.a. as appropriate)</t>
  </si>
  <si>
    <t>Actual</t>
  </si>
  <si>
    <t>Forecast</t>
  </si>
  <si>
    <t>2016/17</t>
  </si>
  <si>
    <t>2017/18</t>
  </si>
  <si>
    <t>2018/19</t>
  </si>
  <si>
    <t>INCOME</t>
  </si>
  <si>
    <t>Lettings &amp; licence fees</t>
  </si>
  <si>
    <t>Lettings</t>
  </si>
  <si>
    <t>Licence fees</t>
  </si>
  <si>
    <t>Donations &amp; fundraising:</t>
  </si>
  <si>
    <t>Town Council core funding</t>
  </si>
  <si>
    <t>Town Council youth activity funding</t>
  </si>
  <si>
    <t>Lions/Rotary/Round Table joint funding</t>
  </si>
  <si>
    <t>Other donations &amp; fundraising</t>
  </si>
  <si>
    <t>Investment income (interest)</t>
  </si>
  <si>
    <t>EXPENSES</t>
  </si>
  <si>
    <t>Staff &amp; staff-related costs</t>
  </si>
  <si>
    <t>Rent, rates, utilities &amp; insurance</t>
  </si>
  <si>
    <t>Property maintenance, security &amp; depreciation</t>
  </si>
  <si>
    <t>Equipment maintenance, replacement &amp; depreciation</t>
  </si>
  <si>
    <t>Administrative costs</t>
  </si>
  <si>
    <t>Advertising, marketing &amp; publicity</t>
  </si>
  <si>
    <t>Youthwork materials &amp; consumables</t>
  </si>
  <si>
    <t>Project costs</t>
  </si>
  <si>
    <t>Internal recharges</t>
  </si>
  <si>
    <t>Exceptional items</t>
  </si>
  <si>
    <t>Sub-total</t>
  </si>
  <si>
    <t>NET INCOME/(OUTGOING RESOURCES)</t>
  </si>
  <si>
    <t xml:space="preserve"> CUMULATIVE NET INCOME/(OUTGOING RESOURCES)</t>
  </si>
  <si>
    <t>Year to Date Actual</t>
  </si>
  <si>
    <t xml:space="preserve"> Total</t>
  </si>
  <si>
    <t>% of Full Year Plan</t>
  </si>
  <si>
    <t>Summary of Open Restricted Funds Current Year Spend</t>
  </si>
  <si>
    <t xml:space="preserve">   Building Project</t>
  </si>
  <si>
    <t xml:space="preserve">      WREN Building Project</t>
  </si>
  <si>
    <t xml:space="preserve">   Total Building Project</t>
  </si>
  <si>
    <t xml:space="preserve">   Bumpz To Babez</t>
  </si>
  <si>
    <t xml:space="preserve">   Change Project</t>
  </si>
  <si>
    <t xml:space="preserve">   Detached Work</t>
  </si>
  <si>
    <t xml:space="preserve">      Rotary Detached Youth Work</t>
  </si>
  <si>
    <t xml:space="preserve">   Total Detached Work</t>
  </si>
  <si>
    <t xml:space="preserve">   Mentoring Project</t>
  </si>
  <si>
    <t xml:space="preserve">      Kenilworth United Charities</t>
  </si>
  <si>
    <t xml:space="preserve">   Total Mentoring Project</t>
  </si>
  <si>
    <t>Total Projects</t>
  </si>
  <si>
    <t xml:space="preserve">      Detached - KTC</t>
  </si>
  <si>
    <t xml:space="preserve">   Price Family</t>
  </si>
  <si>
    <t>Diff</t>
  </si>
  <si>
    <t xml:space="preserve">   Transition Fund</t>
  </si>
  <si>
    <t xml:space="preserve">      WCC Big Society Fund</t>
  </si>
  <si>
    <t xml:space="preserve">      WDC Area Fund</t>
  </si>
  <si>
    <t xml:space="preserve">   Total Transition Fund</t>
  </si>
  <si>
    <t>Deferred Income</t>
  </si>
  <si>
    <t>Capital Spend</t>
  </si>
  <si>
    <t>Change Project</t>
  </si>
  <si>
    <t>Price Family Equipment Fund</t>
  </si>
  <si>
    <t>Reporting Date</t>
  </si>
  <si>
    <t>QB Report Info</t>
  </si>
  <si>
    <t>Dec 2016</t>
  </si>
  <si>
    <t>Sept 2016</t>
  </si>
  <si>
    <t>Jun 2016</t>
  </si>
  <si>
    <t xml:space="preserve">      8010 Audit fees</t>
  </si>
  <si>
    <t>Sunday, Feb 26, 2017 01:35:26 PM GMT0 - Accrual Basis</t>
  </si>
  <si>
    <t>Sunday, Feb 26, 2017 01:42:46 PM GMT0 - Accrual Basis</t>
  </si>
  <si>
    <t xml:space="preserve">      Change Project - Sheldon Trust (Richard's Salary)</t>
  </si>
  <si>
    <t xml:space="preserve">   Total Change Project</t>
  </si>
  <si>
    <t>Expenditure</t>
  </si>
  <si>
    <t>Per Funds Analysis Report</t>
  </si>
  <si>
    <t>As of December 31 2016</t>
  </si>
  <si>
    <t>(incl capital spend)</t>
  </si>
  <si>
    <t xml:space="preserve">      6900 Bank charges</t>
  </si>
  <si>
    <t>March 17</t>
  </si>
  <si>
    <t>Bank charges</t>
  </si>
  <si>
    <t>Total assets less current liabilities</t>
  </si>
  <si>
    <t>Net current assets (liabilities)</t>
  </si>
  <si>
    <t>Total Creditors: amounts falling due within one year</t>
  </si>
  <si>
    <t xml:space="preserve">   Total Current Liabilities</t>
  </si>
  <si>
    <t xml:space="preserve">      0450 Customer Deposits and Defered Income</t>
  </si>
  <si>
    <t xml:space="preserve">      0430 Accruals</t>
  </si>
  <si>
    <t xml:space="preserve">      0420 Tax and National Insurance payable</t>
  </si>
  <si>
    <t xml:space="preserve">   Current Liabilities</t>
  </si>
  <si>
    <t xml:space="preserve">   Total Trade Creditors</t>
  </si>
  <si>
    <t xml:space="preserve">      0410 Creditors</t>
  </si>
  <si>
    <t xml:space="preserve">   Trade Creditors</t>
  </si>
  <si>
    <t>Creditors: amounts falling due within one year</t>
  </si>
  <si>
    <t>Net current assets</t>
  </si>
  <si>
    <t xml:space="preserve">   0290 Allowance for bad debts</t>
  </si>
  <si>
    <t xml:space="preserve">   0240 Supplier deposits</t>
  </si>
  <si>
    <t xml:space="preserve">   0230 Prepayments</t>
  </si>
  <si>
    <t xml:space="preserve">   0215 Undeposited Funds</t>
  </si>
  <si>
    <t>Current Assets</t>
  </si>
  <si>
    <t>Total Debtors</t>
  </si>
  <si>
    <t xml:space="preserve">   0220 Grants Receivable</t>
  </si>
  <si>
    <t xml:space="preserve">   Total 0210 Lettings Receivables</t>
  </si>
  <si>
    <t xml:space="preserve">      0211 Provision for Bad Debts</t>
  </si>
  <si>
    <t xml:space="preserve">   0210 Lettings Receivables</t>
  </si>
  <si>
    <t>Debtors</t>
  </si>
  <si>
    <t>Total Cash at bank and in hand</t>
  </si>
  <si>
    <t xml:space="preserve">   Total 0300 Cash at Bank and in Hand</t>
  </si>
  <si>
    <t xml:space="preserve">      0340 Petty Cash</t>
  </si>
  <si>
    <t xml:space="preserve">      0330 Savings</t>
  </si>
  <si>
    <t xml:space="preserve">      0320 Expenses Account</t>
  </si>
  <si>
    <t xml:space="preserve">      0310 No. 1 Account</t>
  </si>
  <si>
    <t xml:space="preserve">   0300 Cash at Bank and in Hand</t>
  </si>
  <si>
    <t>Cash at bank and in hand</t>
  </si>
  <si>
    <t>Total Fixed Asset</t>
  </si>
  <si>
    <t xml:space="preserve">   Total Tangible assets</t>
  </si>
  <si>
    <t xml:space="preserve">      0120 Acumulated Depreciation on Equipment</t>
  </si>
  <si>
    <t xml:space="preserve">      0110 Accumulated Depreciation</t>
  </si>
  <si>
    <t xml:space="preserve">      0050 Equipment</t>
  </si>
  <si>
    <t xml:space="preserve">      0030 Fixtures and Fittings</t>
  </si>
  <si>
    <t xml:space="preserve">      0020 Leasehold Improvements</t>
  </si>
  <si>
    <t xml:space="preserve">   Tangible assets</t>
  </si>
  <si>
    <t>Fixed Asset</t>
  </si>
  <si>
    <t>Total</t>
  </si>
  <si>
    <t>Sunday, 4th June, 2017 03.45 PM GMT +1.00 - Accrual Basis</t>
  </si>
  <si>
    <t>CENTRE MANAGEMENT</t>
  </si>
  <si>
    <t>YOUTH ACTIVIES</t>
  </si>
  <si>
    <t>RADIO ABBEY</t>
  </si>
  <si>
    <t>Centre M'gement</t>
  </si>
  <si>
    <t>2017/18 Business Plan / Budget</t>
  </si>
  <si>
    <t xml:space="preserve">   Radio Abbey</t>
  </si>
  <si>
    <t>Mentoring Project</t>
  </si>
  <si>
    <t xml:space="preserve">      5010 Equipment maintenance and repairs</t>
  </si>
  <si>
    <t>Other Income</t>
  </si>
  <si>
    <t xml:space="preserve">   1900 Interest Income</t>
  </si>
  <si>
    <t>Total Other Income</t>
  </si>
  <si>
    <t>Net Other Income</t>
  </si>
  <si>
    <t>April - December, 2017</t>
  </si>
  <si>
    <t>March 18</t>
  </si>
  <si>
    <t>Accruals</t>
  </si>
  <si>
    <t>Prepayments</t>
  </si>
  <si>
    <t xml:space="preserve">      3092 Pension Costs - ER</t>
  </si>
  <si>
    <t xml:space="preserve">      6500 Legal and Professional Fees</t>
  </si>
  <si>
    <t>???</t>
  </si>
  <si>
    <t>December 2011 - March 2018</t>
  </si>
  <si>
    <t>.</t>
  </si>
  <si>
    <t>Sept 2018</t>
  </si>
  <si>
    <t xml:space="preserve">   2095 Other debtors</t>
  </si>
  <si>
    <t xml:space="preserve"> Funds Analysis Report</t>
  </si>
  <si>
    <t xml:space="preserve">      0040 Furniture</t>
  </si>
  <si>
    <t xml:space="preserve">      0060 Computers</t>
  </si>
  <si>
    <t>Friday, Jan 11, 2019 11:11:09 AM GMT0 - Accrual Basis</t>
  </si>
  <si>
    <t xml:space="preserve">inv. No. </t>
  </si>
  <si>
    <t>Water Accrual (from April - June)</t>
  </si>
  <si>
    <t>April - Sept</t>
  </si>
  <si>
    <t>Oct</t>
  </si>
  <si>
    <t>Nov</t>
  </si>
  <si>
    <t>Dec</t>
  </si>
  <si>
    <t>Jan</t>
  </si>
  <si>
    <t>Feb</t>
  </si>
  <si>
    <t>Mar</t>
  </si>
  <si>
    <t xml:space="preserve">current </t>
  </si>
  <si>
    <t>Spending</t>
  </si>
  <si>
    <t>Budget</t>
  </si>
  <si>
    <t>Budget 19-20</t>
  </si>
  <si>
    <t>Budget 18-19</t>
  </si>
  <si>
    <t>STAFF COSTS</t>
  </si>
  <si>
    <t>Hours</t>
  </si>
  <si>
    <t>Rate</t>
  </si>
  <si>
    <t>Weeks</t>
  </si>
  <si>
    <t>Current salary</t>
  </si>
  <si>
    <t>Increase @ 1/1/19</t>
  </si>
  <si>
    <t>Salary @ 1/1/19</t>
  </si>
  <si>
    <t>Salary 2018/19</t>
  </si>
  <si>
    <t>Other costs</t>
  </si>
  <si>
    <t>Staff costs 2019/20</t>
  </si>
  <si>
    <t>CM</t>
  </si>
  <si>
    <t>YA</t>
  </si>
  <si>
    <t>RA</t>
  </si>
  <si>
    <t>General C.O.L increase</t>
  </si>
  <si>
    <t>Holly</t>
  </si>
  <si>
    <t>Louise</t>
  </si>
  <si>
    <t>Michaela</t>
  </si>
  <si>
    <t>?</t>
  </si>
  <si>
    <t>Living wage increase from £8.75 to £9.00 ph</t>
  </si>
  <si>
    <t>Hope</t>
  </si>
  <si>
    <t>Increase to full rate for role (£15.00 p.h.)</t>
  </si>
  <si>
    <t>Sam</t>
  </si>
  <si>
    <t>Katie</t>
  </si>
  <si>
    <t>Munj</t>
  </si>
  <si>
    <t>Andrea</t>
  </si>
  <si>
    <t>Increase to full rate for role (£12.00 p.h.)</t>
  </si>
  <si>
    <t>Staff related cost</t>
  </si>
  <si>
    <t>Pension</t>
  </si>
  <si>
    <t>Monthly</t>
  </si>
  <si>
    <t>cost</t>
  </si>
  <si>
    <t>Pension EE</t>
  </si>
  <si>
    <t>Pension ER</t>
  </si>
  <si>
    <t>Katie left 20/09/19</t>
  </si>
  <si>
    <t>2020/21 Budget</t>
  </si>
  <si>
    <t>Donations</t>
  </si>
  <si>
    <t>COVID-19</t>
  </si>
  <si>
    <t>Fundraising</t>
  </si>
  <si>
    <t>COVID - 19</t>
  </si>
  <si>
    <t>2020/21
Budget</t>
  </si>
  <si>
    <t>Fundrainsing</t>
  </si>
  <si>
    <t>Sept</t>
  </si>
  <si>
    <t>Jun</t>
  </si>
  <si>
    <t>Apr</t>
  </si>
  <si>
    <t>Aug</t>
  </si>
  <si>
    <t>Jul</t>
  </si>
  <si>
    <t>May</t>
  </si>
  <si>
    <t>Elizabeth</t>
  </si>
  <si>
    <t>Holly Nov &amp; Dec</t>
  </si>
  <si>
    <t>P&amp;G</t>
  </si>
  <si>
    <t>Youthclub</t>
  </si>
  <si>
    <t>Mentoring</t>
  </si>
  <si>
    <t xml:space="preserve">      0010 Leasehold Buildings</t>
  </si>
  <si>
    <t>Water plus Feb and March 20</t>
  </si>
  <si>
    <t>Audit Fees</t>
  </si>
  <si>
    <t>Engie March 2021</t>
  </si>
  <si>
    <t>2-01873487</t>
  </si>
  <si>
    <t>Hallmaster</t>
  </si>
  <si>
    <t>Single venue licence 1 Year</t>
  </si>
  <si>
    <t>HM-2505</t>
  </si>
  <si>
    <t>Local Giving Webpage Membership 14/02/21 - 13/02/22</t>
  </si>
  <si>
    <t>Mainstream digital - Superfast FTTC/P 24/02/21 - 23/05/21</t>
  </si>
  <si>
    <t>Opus March 2021</t>
  </si>
  <si>
    <t>PPL PRS - Jan 21 -Dec 21</t>
  </si>
  <si>
    <t>CCPAS  Thirtyone:eight March  10 -Feb 22</t>
  </si>
  <si>
    <t>TX00057287</t>
  </si>
  <si>
    <t>Effective 01/04/21</t>
  </si>
  <si>
    <t>Towergate - Ecclesiastical Insurance</t>
  </si>
  <si>
    <t>Zoom April 21</t>
  </si>
  <si>
    <t>INV75794860</t>
  </si>
  <si>
    <t>squarespace Feb 21 - Jan 22</t>
  </si>
  <si>
    <t>Furlough claim March 21 (received in April 21)</t>
  </si>
  <si>
    <t>Midland Lift Services</t>
  </si>
  <si>
    <t>24/03/21 - 23/03/22</t>
  </si>
  <si>
    <t>Wellbeing Hub</t>
  </si>
  <si>
    <t xml:space="preserve">Garden Playgroup expenses </t>
  </si>
  <si>
    <t>Amazon invoice 139025 and extra expenses paid on CC</t>
  </si>
  <si>
    <t>WDC - laptops for Youthwork</t>
  </si>
  <si>
    <t>Provision for Heating</t>
  </si>
  <si>
    <t>WDC- laptops for Youthwork + screen in Youthroom</t>
  </si>
  <si>
    <t>Provision for the Front Doors</t>
  </si>
  <si>
    <t>Garden Playgroup</t>
  </si>
  <si>
    <t>Garden Playground</t>
  </si>
  <si>
    <t>Garden playground</t>
  </si>
  <si>
    <t>Community Garden project</t>
  </si>
  <si>
    <t xml:space="preserve">      7520 Project materials</t>
  </si>
  <si>
    <t>Development Project - Post Covid Fund</t>
  </si>
  <si>
    <t>Slow cooking course</t>
  </si>
  <si>
    <t>Development project</t>
  </si>
  <si>
    <t xml:space="preserve">      1340 Garden playground subscription</t>
  </si>
  <si>
    <t xml:space="preserve">      7050 Garden playground material/consumables and services</t>
  </si>
  <si>
    <t>Asylum Seekers</t>
  </si>
  <si>
    <t>-</t>
  </si>
  <si>
    <t>Other Expenses</t>
  </si>
  <si>
    <t>Total Other Expenses</t>
  </si>
  <si>
    <t>US girls project</t>
  </si>
  <si>
    <t>Handmade &amp; Homegrown</t>
  </si>
  <si>
    <t xml:space="preserve">      6020 Photocopying</t>
  </si>
  <si>
    <t>* to update</t>
  </si>
  <si>
    <t>December 2011 - July 22</t>
  </si>
  <si>
    <t>April 22 - July 22</t>
  </si>
  <si>
    <t>Inclusive projects</t>
  </si>
  <si>
    <t>Transition funding</t>
  </si>
  <si>
    <t>Total Restricted</t>
  </si>
  <si>
    <t>Open balance 31/03/23</t>
  </si>
  <si>
    <t>Inclusive Projects</t>
  </si>
  <si>
    <t>Warm Hub projects</t>
  </si>
  <si>
    <t>Pop up cafe</t>
  </si>
  <si>
    <t>Total Inclusive Projects</t>
  </si>
  <si>
    <t>Slow cooking</t>
  </si>
  <si>
    <t>Total Property and General</t>
  </si>
  <si>
    <t>Youthwork Funded Projects</t>
  </si>
  <si>
    <t>Arts and Wellbeing project</t>
  </si>
  <si>
    <t>Kickboxing Project</t>
  </si>
  <si>
    <t>The Maxted course Project</t>
  </si>
  <si>
    <t>Yoga course Project</t>
  </si>
  <si>
    <t>Youthclub - Friday</t>
  </si>
  <si>
    <t>Total Youthwork Funded Projects</t>
  </si>
  <si>
    <t xml:space="preserve">      1021 Donations for non-tKC activities</t>
  </si>
  <si>
    <t xml:space="preserve">      1350 Youthwork project subs</t>
  </si>
  <si>
    <t xml:space="preserve">   1501 Other Primary Income</t>
  </si>
  <si>
    <t xml:space="preserve">   3000 Personnel Costs - Core Staff cost</t>
  </si>
  <si>
    <t xml:space="preserve">   Total 3000 Personnel Costs - Core Staff cost</t>
  </si>
  <si>
    <t xml:space="preserve">   3001 Payroll Expenses - Additionally Fundend Hours</t>
  </si>
  <si>
    <t xml:space="preserve">      3003 Additional Youthwork Staff Cost  - AFH</t>
  </si>
  <si>
    <t xml:space="preserve">   Total 3001 Payroll Expenses - Additionally Fundend Hours</t>
  </si>
  <si>
    <t xml:space="preserve">         4430 Grounds Maintenance and Gardening</t>
  </si>
  <si>
    <t xml:space="preserve">      6010 Telephones and Broadband</t>
  </si>
  <si>
    <t xml:space="preserve">      7020 Youthwork bought-in services</t>
  </si>
  <si>
    <t xml:space="preserve">   7500 Project Costs</t>
  </si>
  <si>
    <t xml:space="preserve">      7540 Inclusive projects cost</t>
  </si>
  <si>
    <t xml:space="preserve">   Total 7500 Project Costs</t>
  </si>
  <si>
    <t xml:space="preserve">   9100 Management recharges</t>
  </si>
  <si>
    <t>April - September, 2023</t>
  </si>
  <si>
    <t>Monday, Oct 16, 2023 02:21:34 pm GMT+1 - Accrual Basis</t>
  </si>
  <si>
    <t>Community (Inclusive) Projects:</t>
  </si>
  <si>
    <t>* Asylum Seekers</t>
  </si>
  <si>
    <t>* Pop up Café</t>
  </si>
  <si>
    <t>* Warm Hub Projects</t>
  </si>
  <si>
    <t>Property and General Restricted Projects:</t>
  </si>
  <si>
    <t>* Community garden project</t>
  </si>
  <si>
    <t>* Slow Cooking</t>
  </si>
  <si>
    <t>* Garden Playground</t>
  </si>
  <si>
    <t>* Cinema</t>
  </si>
  <si>
    <t>Yothwork Funded Projects:</t>
  </si>
  <si>
    <t>* Arts and Wellbeing project</t>
  </si>
  <si>
    <t>*  Detached</t>
  </si>
  <si>
    <t>* Kickboxing project</t>
  </si>
  <si>
    <t>* The Maxted course project</t>
  </si>
  <si>
    <t>* Wellbeing Hub</t>
  </si>
  <si>
    <t>* Yoga course project</t>
  </si>
  <si>
    <t>* Youthclub Friday</t>
  </si>
  <si>
    <t>* balance from previous years (Accumulated depreciation on Leasehold improvement, Management recharges)</t>
  </si>
  <si>
    <t>* Mentoring project</t>
  </si>
  <si>
    <t>* balance from previous years (annual Management recharges, materials and supplies for rest. Youth projects, counseling cost, Furlough claim etc)</t>
  </si>
  <si>
    <t>* Youthwork general (no project specific) - salaries etc</t>
  </si>
  <si>
    <t>* f/w balance from previous years (no project specific)</t>
  </si>
  <si>
    <t>Community Garden Project</t>
  </si>
  <si>
    <t>Apr - Sept 23</t>
  </si>
  <si>
    <t>Check</t>
  </si>
  <si>
    <t>Restricted Funds 30/09/2023</t>
  </si>
  <si>
    <t>Unrestricted</t>
  </si>
  <si>
    <t>Balance 30/09/23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</si>
</sst>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£&quot;#,##0;[Red]\-&quot;£&quot;#,##0"/>
    <numFmt numFmtId="44" formatCode="_-&quot;£&quot;* #,##0.00_-;\-&quot;£&quot;* #,##0.00_-;_-&quot;£&quot;* &quot;-&quot;??_-;_-@_-"/>
    <numFmt numFmtId="164" formatCode="dd\ mmm\ yy"/>
    <numFmt numFmtId="165" formatCode="_-\£* #,##0.00_-;&quot;-£&quot;* #,##0.00_-;_-\£* \-??_-;_-@_-"/>
    <numFmt numFmtId="166" formatCode="\£* #,##0.00"/>
    <numFmt numFmtId="167" formatCode="\£#,##0.00"/>
    <numFmt numFmtId="168" formatCode="&quot;£&quot;* #,##0.00\ _€"/>
    <numFmt numFmtId="169" formatCode="#,##0.00\ _€"/>
    <numFmt numFmtId="170" formatCode="&quot;£&quot;* \-#,##0.00;[Red]&quot;£&quot;* \-#,##0.00"/>
    <numFmt numFmtId="171" formatCode="#,##0_);&quot;(&quot;#,##0&quot;)&quot;;&quot;-&quot;_)"/>
    <numFmt numFmtId="172" formatCode="#,##0\ _€"/>
    <numFmt numFmtId="173" formatCode="&quot;£&quot;#,##0"/>
    <numFmt numFmtId="174" formatCode="0.0"/>
    <numFmt numFmtId="175" formatCode="&quot;£&quot;#,##0.00"/>
    <numFmt numFmtId="176" formatCode="0.0%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1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rgb="FFFF0000"/>
      <name val="Arial"/>
    </font>
    <font>
      <sz val="8"/>
      <color rgb="FFFF0000"/>
      <name val="Arial"/>
    </font>
    <font>
      <b/>
      <sz val="8"/>
      <color rgb="FFFF0000"/>
      <name val="Arial"/>
    </font>
    <font>
      <sz val="11"/>
      <name val="Calibri"/>
      <family val="2"/>
      <scheme val="minor"/>
    </font>
    <font>
      <b/>
      <sz val="8"/>
      <color rgb="FF0070C0"/>
      <name val="Arial"/>
      <family val="2"/>
    </font>
    <font>
      <b/>
      <sz val="9"/>
      <color rgb="FF00B050"/>
      <name val="Arial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2" borderId="1" applyNumberFormat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4" fillId="0" borderId="0"/>
    <xf numFmtId="0" fontId="29" fillId="5" borderId="0" applyNumberFormat="0" applyBorder="0" applyAlignment="0" applyProtection="0"/>
    <xf numFmtId="0" fontId="1" fillId="0" borderId="0"/>
  </cellStyleXfs>
  <cellXfs count="3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8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38" fontId="4" fillId="0" borderId="3" xfId="0" applyNumberFormat="1" applyFont="1" applyBorder="1" applyAlignment="1">
      <alignment horizontal="center"/>
    </xf>
    <xf numFmtId="38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4" fontId="0" fillId="0" borderId="0" xfId="0" applyNumberFormat="1"/>
    <xf numFmtId="38" fontId="6" fillId="0" borderId="3" xfId="0" applyNumberFormat="1" applyFont="1" applyBorder="1" applyAlignment="1">
      <alignment horizontal="center"/>
    </xf>
    <xf numFmtId="0" fontId="4" fillId="0" borderId="5" xfId="0" applyFont="1" applyBorder="1"/>
    <xf numFmtId="165" fontId="0" fillId="0" borderId="0" xfId="0" applyNumberFormat="1"/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0" borderId="0" xfId="0" applyNumberFormat="1" applyAlignment="1">
      <alignment horizontal="right" wrapText="1"/>
    </xf>
    <xf numFmtId="167" fontId="3" fillId="0" borderId="2" xfId="0" applyNumberFormat="1" applyFont="1" applyBorder="1" applyAlignment="1">
      <alignment horizontal="right" wrapText="1"/>
    </xf>
    <xf numFmtId="167" fontId="3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/>
    </xf>
    <xf numFmtId="40" fontId="10" fillId="0" borderId="0" xfId="0" applyNumberFormat="1" applyFont="1" applyAlignment="1">
      <alignment horizontal="right" wrapText="1"/>
    </xf>
    <xf numFmtId="168" fontId="11" fillId="0" borderId="7" xfId="0" applyNumberFormat="1" applyFont="1" applyBorder="1" applyAlignment="1">
      <alignment horizontal="right" wrapText="1"/>
    </xf>
    <xf numFmtId="0" fontId="11" fillId="0" borderId="0" xfId="0" applyFont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169" fontId="14" fillId="0" borderId="0" xfId="0" applyNumberFormat="1" applyFont="1" applyAlignment="1">
      <alignment wrapText="1"/>
    </xf>
    <xf numFmtId="169" fontId="14" fillId="0" borderId="0" xfId="0" applyNumberFormat="1" applyFont="1" applyAlignment="1">
      <alignment horizontal="right" wrapText="1"/>
    </xf>
    <xf numFmtId="40" fontId="14" fillId="0" borderId="0" xfId="0" applyNumberFormat="1" applyFont="1" applyAlignment="1">
      <alignment horizontal="right" wrapText="1"/>
    </xf>
    <xf numFmtId="168" fontId="13" fillId="0" borderId="13" xfId="0" applyNumberFormat="1" applyFont="1" applyBorder="1" applyAlignment="1">
      <alignment horizontal="right" wrapText="1"/>
    </xf>
    <xf numFmtId="170" fontId="13" fillId="0" borderId="13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centerContinuous"/>
    </xf>
    <xf numFmtId="0" fontId="15" fillId="0" borderId="0" xfId="0" applyFont="1"/>
    <xf numFmtId="0" fontId="16" fillId="0" borderId="0" xfId="0" applyFont="1"/>
    <xf numFmtId="0" fontId="17" fillId="0" borderId="9" xfId="0" applyFont="1" applyBorder="1"/>
    <xf numFmtId="0" fontId="17" fillId="0" borderId="8" xfId="0" applyFont="1" applyBorder="1"/>
    <xf numFmtId="0" fontId="16" fillId="0" borderId="16" xfId="0" applyFont="1" applyBorder="1"/>
    <xf numFmtId="0" fontId="19" fillId="0" borderId="0" xfId="0" applyFont="1" applyAlignment="1">
      <alignment horizontal="center"/>
    </xf>
    <xf numFmtId="0" fontId="17" fillId="0" borderId="11" xfId="0" applyFont="1" applyBorder="1"/>
    <xf numFmtId="0" fontId="17" fillId="0" borderId="15" xfId="0" applyFont="1" applyBorder="1"/>
    <xf numFmtId="3" fontId="17" fillId="0" borderId="14" xfId="0" applyNumberFormat="1" applyFont="1" applyBorder="1"/>
    <xf numFmtId="3" fontId="17" fillId="0" borderId="15" xfId="0" applyNumberFormat="1" applyFont="1" applyBorder="1"/>
    <xf numFmtId="0" fontId="17" fillId="0" borderId="14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0" xfId="0" applyFont="1"/>
    <xf numFmtId="3" fontId="17" fillId="0" borderId="9" xfId="0" applyNumberFormat="1" applyFont="1" applyBorder="1"/>
    <xf numFmtId="3" fontId="17" fillId="0" borderId="0" xfId="0" applyNumberFormat="1" applyFont="1"/>
    <xf numFmtId="3" fontId="17" fillId="0" borderId="8" xfId="0" applyNumberFormat="1" applyFont="1" applyBorder="1"/>
    <xf numFmtId="3" fontId="17" fillId="0" borderId="16" xfId="0" applyNumberFormat="1" applyFont="1" applyBorder="1"/>
    <xf numFmtId="3" fontId="18" fillId="0" borderId="0" xfId="0" applyNumberFormat="1" applyFont="1"/>
    <xf numFmtId="3" fontId="18" fillId="0" borderId="8" xfId="0" applyNumberFormat="1" applyFont="1" applyBorder="1"/>
    <xf numFmtId="3" fontId="18" fillId="0" borderId="9" xfId="0" applyNumberFormat="1" applyFont="1" applyBorder="1"/>
    <xf numFmtId="0" fontId="16" fillId="0" borderId="8" xfId="0" applyFont="1" applyBorder="1"/>
    <xf numFmtId="3" fontId="16" fillId="0" borderId="0" xfId="0" applyNumberFormat="1" applyFont="1"/>
    <xf numFmtId="3" fontId="16" fillId="0" borderId="8" xfId="0" applyNumberFormat="1" applyFont="1" applyBorder="1"/>
    <xf numFmtId="3" fontId="16" fillId="0" borderId="9" xfId="0" applyNumberFormat="1" applyFont="1" applyBorder="1"/>
    <xf numFmtId="3" fontId="16" fillId="0" borderId="16" xfId="0" applyNumberFormat="1" applyFont="1" applyBorder="1"/>
    <xf numFmtId="3" fontId="20" fillId="0" borderId="0" xfId="0" applyNumberFormat="1" applyFont="1"/>
    <xf numFmtId="3" fontId="20" fillId="0" borderId="8" xfId="0" applyNumberFormat="1" applyFont="1" applyBorder="1"/>
    <xf numFmtId="3" fontId="20" fillId="0" borderId="9" xfId="0" applyNumberFormat="1" applyFont="1" applyBorder="1"/>
    <xf numFmtId="0" fontId="16" fillId="0" borderId="8" xfId="0" applyFont="1" applyBorder="1" applyAlignment="1">
      <alignment horizontal="right"/>
    </xf>
    <xf numFmtId="3" fontId="16" fillId="0" borderId="19" xfId="0" applyNumberFormat="1" applyFont="1" applyBorder="1"/>
    <xf numFmtId="3" fontId="16" fillId="0" borderId="20" xfId="0" applyNumberFormat="1" applyFont="1" applyBorder="1"/>
    <xf numFmtId="3" fontId="16" fillId="0" borderId="21" xfId="0" applyNumberFormat="1" applyFont="1" applyBorder="1"/>
    <xf numFmtId="3" fontId="20" fillId="0" borderId="21" xfId="0" applyNumberFormat="1" applyFont="1" applyBorder="1"/>
    <xf numFmtId="3" fontId="20" fillId="0" borderId="19" xfId="0" applyNumberFormat="1" applyFont="1" applyBorder="1"/>
    <xf numFmtId="3" fontId="20" fillId="0" borderId="20" xfId="0" applyNumberFormat="1" applyFont="1" applyBorder="1"/>
    <xf numFmtId="3" fontId="20" fillId="0" borderId="15" xfId="0" applyNumberFormat="1" applyFont="1" applyBorder="1"/>
    <xf numFmtId="3" fontId="16" fillId="0" borderId="12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3" fontId="20" fillId="0" borderId="12" xfId="0" applyNumberFormat="1" applyFont="1" applyBorder="1"/>
    <xf numFmtId="3" fontId="20" fillId="0" borderId="22" xfId="0" applyNumberFormat="1" applyFont="1" applyBorder="1"/>
    <xf numFmtId="3" fontId="20" fillId="0" borderId="23" xfId="0" applyNumberFormat="1" applyFont="1" applyBorder="1"/>
    <xf numFmtId="0" fontId="17" fillId="0" borderId="8" xfId="0" applyFont="1" applyBorder="1" applyAlignment="1">
      <alignment horizontal="right"/>
    </xf>
    <xf numFmtId="0" fontId="20" fillId="0" borderId="0" xfId="0" applyFont="1"/>
    <xf numFmtId="0" fontId="20" fillId="0" borderId="8" xfId="0" applyFont="1" applyBorder="1"/>
    <xf numFmtId="0" fontId="20" fillId="0" borderId="9" xfId="0" applyFont="1" applyBorder="1"/>
    <xf numFmtId="0" fontId="17" fillId="0" borderId="0" xfId="0" applyFont="1" applyAlignment="1">
      <alignment horizontal="right"/>
    </xf>
    <xf numFmtId="168" fontId="22" fillId="0" borderId="13" xfId="0" applyNumberFormat="1" applyFont="1" applyBorder="1" applyAlignment="1">
      <alignment horizontal="right" wrapText="1"/>
    </xf>
    <xf numFmtId="0" fontId="23" fillId="0" borderId="0" xfId="0" applyFont="1"/>
    <xf numFmtId="0" fontId="7" fillId="0" borderId="0" xfId="0" applyFont="1"/>
    <xf numFmtId="3" fontId="3" fillId="0" borderId="10" xfId="0" applyNumberFormat="1" applyFont="1" applyBorder="1"/>
    <xf numFmtId="3" fontId="0" fillId="0" borderId="13" xfId="0" applyNumberFormat="1" applyBorder="1"/>
    <xf numFmtId="14" fontId="0" fillId="0" borderId="25" xfId="0" applyNumberFormat="1" applyBorder="1"/>
    <xf numFmtId="14" fontId="0" fillId="0" borderId="0" xfId="0" applyNumberFormat="1"/>
    <xf numFmtId="14" fontId="0" fillId="3" borderId="25" xfId="0" applyNumberFormat="1" applyFill="1" applyBorder="1" applyAlignment="1">
      <alignment horizontal="center"/>
    </xf>
    <xf numFmtId="17" fontId="0" fillId="3" borderId="25" xfId="0" quotePrefix="1" applyNumberFormat="1" applyFill="1" applyBorder="1" applyAlignment="1">
      <alignment horizontal="center"/>
    </xf>
    <xf numFmtId="0" fontId="0" fillId="3" borderId="25" xfId="0" quotePrefix="1" applyFill="1" applyBorder="1" applyAlignment="1">
      <alignment horizontal="center"/>
    </xf>
    <xf numFmtId="44" fontId="0" fillId="0" borderId="0" xfId="0" applyNumberFormat="1"/>
    <xf numFmtId="0" fontId="24" fillId="0" borderId="0" xfId="5"/>
    <xf numFmtId="0" fontId="17" fillId="0" borderId="25" xfId="0" applyFont="1" applyBorder="1"/>
    <xf numFmtId="3" fontId="16" fillId="0" borderId="25" xfId="0" applyNumberFormat="1" applyFont="1" applyBorder="1"/>
    <xf numFmtId="0" fontId="17" fillId="0" borderId="26" xfId="0" applyFont="1" applyBorder="1"/>
    <xf numFmtId="0" fontId="16" fillId="0" borderId="0" xfId="0" applyFont="1" applyAlignment="1">
      <alignment horizontal="right"/>
    </xf>
    <xf numFmtId="3" fontId="16" fillId="0" borderId="27" xfId="0" applyNumberFormat="1" applyFont="1" applyBorder="1"/>
    <xf numFmtId="3" fontId="16" fillId="0" borderId="28" xfId="0" applyNumberFormat="1" applyFont="1" applyBorder="1"/>
    <xf numFmtId="3" fontId="18" fillId="0" borderId="16" xfId="0" applyNumberFormat="1" applyFont="1" applyBorder="1"/>
    <xf numFmtId="3" fontId="20" fillId="0" borderId="16" xfId="0" applyNumberFormat="1" applyFont="1" applyBorder="1"/>
    <xf numFmtId="3" fontId="20" fillId="0" borderId="27" xfId="0" applyNumberFormat="1" applyFont="1" applyBorder="1"/>
    <xf numFmtId="3" fontId="20" fillId="0" borderId="28" xfId="0" applyNumberFormat="1" applyFont="1" applyBorder="1"/>
    <xf numFmtId="0" fontId="17" fillId="0" borderId="10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8" fontId="6" fillId="0" borderId="29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171" fontId="4" fillId="0" borderId="3" xfId="0" applyNumberFormat="1" applyFont="1" applyBorder="1" applyAlignment="1">
      <alignment horizontal="center"/>
    </xf>
    <xf numFmtId="169" fontId="14" fillId="0" borderId="0" xfId="5" applyNumberFormat="1" applyFont="1" applyAlignment="1">
      <alignment wrapText="1"/>
    </xf>
    <xf numFmtId="0" fontId="13" fillId="0" borderId="0" xfId="5" applyFont="1" applyAlignment="1">
      <alignment horizontal="left" wrapText="1"/>
    </xf>
    <xf numFmtId="168" fontId="13" fillId="0" borderId="13" xfId="5" applyNumberFormat="1" applyFont="1" applyBorder="1" applyAlignment="1">
      <alignment horizontal="right" wrapText="1"/>
    </xf>
    <xf numFmtId="170" fontId="13" fillId="0" borderId="13" xfId="5" applyNumberFormat="1" applyFont="1" applyBorder="1" applyAlignment="1">
      <alignment horizontal="right" wrapText="1"/>
    </xf>
    <xf numFmtId="169" fontId="14" fillId="0" borderId="0" xfId="5" applyNumberFormat="1" applyFont="1" applyAlignment="1">
      <alignment horizontal="right" wrapText="1"/>
    </xf>
    <xf numFmtId="40" fontId="14" fillId="0" borderId="0" xfId="5" applyNumberFormat="1" applyFont="1" applyAlignment="1">
      <alignment horizontal="right" wrapText="1"/>
    </xf>
    <xf numFmtId="0" fontId="5" fillId="0" borderId="26" xfId="5" applyFont="1" applyBorder="1" applyAlignment="1">
      <alignment horizontal="center" wrapText="1"/>
    </xf>
    <xf numFmtId="0" fontId="24" fillId="0" borderId="0" xfId="5" applyAlignment="1">
      <alignment wrapText="1"/>
    </xf>
    <xf numFmtId="0" fontId="2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72" fontId="14" fillId="0" borderId="0" xfId="5" applyNumberFormat="1" applyFont="1" applyAlignment="1">
      <alignment horizontal="right" wrapText="1"/>
    </xf>
    <xf numFmtId="44" fontId="24" fillId="0" borderId="0" xfId="5" applyNumberFormat="1"/>
    <xf numFmtId="169" fontId="7" fillId="0" borderId="0" xfId="0" applyNumberFormat="1" applyFont="1"/>
    <xf numFmtId="172" fontId="13" fillId="0" borderId="13" xfId="5" applyNumberFormat="1" applyFont="1" applyBorder="1" applyAlignment="1">
      <alignment horizontal="right" wrapText="1"/>
    </xf>
    <xf numFmtId="0" fontId="30" fillId="0" borderId="0" xfId="0" applyFont="1"/>
    <xf numFmtId="173" fontId="30" fillId="0" borderId="0" xfId="0" applyNumberFormat="1" applyFont="1" applyAlignment="1">
      <alignment horizontal="center"/>
    </xf>
    <xf numFmtId="173" fontId="0" fillId="0" borderId="0" xfId="0" applyNumberFormat="1"/>
    <xf numFmtId="173" fontId="30" fillId="0" borderId="19" xfId="0" applyNumberFormat="1" applyFont="1" applyBorder="1"/>
    <xf numFmtId="14" fontId="3" fillId="0" borderId="0" xfId="0" applyNumberFormat="1" applyFont="1"/>
    <xf numFmtId="169" fontId="14" fillId="0" borderId="26" xfId="0" applyNumberFormat="1" applyFont="1" applyBorder="1" applyAlignment="1">
      <alignment horizontal="right" wrapText="1"/>
    </xf>
    <xf numFmtId="40" fontId="14" fillId="0" borderId="26" xfId="0" applyNumberFormat="1" applyFont="1" applyBorder="1" applyAlignment="1">
      <alignment horizontal="right" wrapText="1"/>
    </xf>
    <xf numFmtId="0" fontId="13" fillId="4" borderId="0" xfId="0" applyFont="1" applyFill="1" applyAlignment="1">
      <alignment horizontal="left" wrapText="1"/>
    </xf>
    <xf numFmtId="0" fontId="29" fillId="5" borderId="0" xfId="6"/>
    <xf numFmtId="169" fontId="29" fillId="5" borderId="0" xfId="6" applyNumberFormat="1"/>
    <xf numFmtId="168" fontId="13" fillId="0" borderId="0" xfId="0" applyNumberFormat="1" applyFont="1" applyAlignment="1">
      <alignment horizontal="right" wrapText="1"/>
    </xf>
    <xf numFmtId="6" fontId="0" fillId="0" borderId="0" xfId="0" applyNumberFormat="1"/>
    <xf numFmtId="0" fontId="0" fillId="3" borderId="0" xfId="0" applyFill="1" applyAlignment="1">
      <alignment horizontal="center"/>
    </xf>
    <xf numFmtId="168" fontId="13" fillId="0" borderId="7" xfId="0" applyNumberFormat="1" applyFont="1" applyBorder="1" applyAlignment="1">
      <alignment horizontal="right" wrapText="1"/>
    </xf>
    <xf numFmtId="173" fontId="3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174" fontId="2" fillId="0" borderId="0" xfId="0" applyNumberFormat="1" applyFont="1"/>
    <xf numFmtId="175" fontId="2" fillId="0" borderId="0" xfId="0" applyNumberFormat="1" applyFont="1"/>
    <xf numFmtId="176" fontId="0" fillId="0" borderId="0" xfId="0" applyNumberFormat="1"/>
    <xf numFmtId="174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73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left"/>
    </xf>
    <xf numFmtId="3" fontId="32" fillId="0" borderId="0" xfId="0" applyNumberFormat="1" applyFont="1" applyAlignment="1">
      <alignment horizontal="right"/>
    </xf>
    <xf numFmtId="174" fontId="0" fillId="0" borderId="0" xfId="0" applyNumberFormat="1"/>
    <xf numFmtId="175" fontId="0" fillId="0" borderId="0" xfId="0" applyNumberFormat="1"/>
    <xf numFmtId="173" fontId="0" fillId="0" borderId="0" xfId="0" applyNumberFormat="1" applyAlignment="1">
      <alignment horizontal="right"/>
    </xf>
    <xf numFmtId="176" fontId="3" fillId="0" borderId="0" xfId="0" applyNumberFormat="1" applyFont="1"/>
    <xf numFmtId="9" fontId="32" fillId="0" borderId="0" xfId="0" applyNumberFormat="1" applyFont="1" applyAlignment="1">
      <alignment horizontal="right"/>
    </xf>
    <xf numFmtId="176" fontId="32" fillId="0" borderId="0" xfId="0" applyNumberFormat="1" applyFont="1"/>
    <xf numFmtId="173" fontId="0" fillId="0" borderId="7" xfId="0" applyNumberFormat="1" applyBorder="1"/>
    <xf numFmtId="173" fontId="0" fillId="0" borderId="19" xfId="0" applyNumberFormat="1" applyBorder="1"/>
    <xf numFmtId="173" fontId="33" fillId="0" borderId="0" xfId="0" applyNumberFormat="1" applyFont="1"/>
    <xf numFmtId="173" fontId="0" fillId="4" borderId="0" xfId="0" applyNumberFormat="1" applyFill="1"/>
    <xf numFmtId="0" fontId="0" fillId="0" borderId="19" xfId="0" applyBorder="1"/>
    <xf numFmtId="0" fontId="3" fillId="0" borderId="19" xfId="0" applyFont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38" fontId="6" fillId="0" borderId="2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9" fontId="34" fillId="0" borderId="0" xfId="0" applyNumberFormat="1" applyFont="1" applyAlignment="1">
      <alignment wrapText="1"/>
    </xf>
    <xf numFmtId="0" fontId="31" fillId="0" borderId="0" xfId="0" applyFont="1"/>
    <xf numFmtId="169" fontId="3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71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171" fontId="36" fillId="0" borderId="0" xfId="0" applyNumberFormat="1" applyFont="1" applyAlignment="1">
      <alignment horizontal="center"/>
    </xf>
    <xf numFmtId="0" fontId="4" fillId="0" borderId="30" xfId="0" applyFont="1" applyBorder="1"/>
    <xf numFmtId="3" fontId="3" fillId="0" borderId="0" xfId="0" applyNumberFormat="1" applyFont="1"/>
    <xf numFmtId="9" fontId="0" fillId="0" borderId="0" xfId="0" applyNumberFormat="1"/>
    <xf numFmtId="0" fontId="37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8" fontId="35" fillId="0" borderId="7" xfId="0" applyNumberFormat="1" applyFont="1" applyBorder="1" applyAlignment="1">
      <alignment horizontal="right" wrapText="1"/>
    </xf>
    <xf numFmtId="168" fontId="13" fillId="0" borderId="7" xfId="5" applyNumberFormat="1" applyFont="1" applyBorder="1" applyAlignment="1">
      <alignment horizontal="right" wrapText="1"/>
    </xf>
    <xf numFmtId="170" fontId="13" fillId="0" borderId="7" xfId="5" applyNumberFormat="1" applyFont="1" applyBorder="1" applyAlignment="1">
      <alignment horizontal="right" wrapText="1"/>
    </xf>
    <xf numFmtId="172" fontId="13" fillId="0" borderId="7" xfId="5" applyNumberFormat="1" applyFont="1" applyBorder="1" applyAlignment="1">
      <alignment horizontal="right" wrapText="1"/>
    </xf>
    <xf numFmtId="0" fontId="38" fillId="0" borderId="0" xfId="0" applyFont="1"/>
    <xf numFmtId="173" fontId="38" fillId="0" borderId="0" xfId="0" applyNumberFormat="1" applyFont="1"/>
    <xf numFmtId="4" fontId="38" fillId="0" borderId="0" xfId="0" applyNumberFormat="1" applyFont="1"/>
    <xf numFmtId="1" fontId="38" fillId="0" borderId="0" xfId="0" applyNumberFormat="1" applyFont="1"/>
    <xf numFmtId="17" fontId="0" fillId="0" borderId="0" xfId="0" applyNumberFormat="1"/>
    <xf numFmtId="40" fontId="34" fillId="0" borderId="0" xfId="0" applyNumberFormat="1" applyFont="1" applyAlignment="1">
      <alignment horizontal="right" wrapText="1"/>
    </xf>
    <xf numFmtId="168" fontId="35" fillId="0" borderId="13" xfId="0" applyNumberFormat="1" applyFont="1" applyBorder="1" applyAlignment="1">
      <alignment horizontal="right" wrapText="1"/>
    </xf>
    <xf numFmtId="170" fontId="35" fillId="0" borderId="13" xfId="0" applyNumberFormat="1" applyFont="1" applyBorder="1" applyAlignment="1">
      <alignment horizontal="right" wrapText="1"/>
    </xf>
    <xf numFmtId="0" fontId="5" fillId="0" borderId="0" xfId="5" applyFont="1" applyAlignment="1">
      <alignment horizontal="left" wrapText="1"/>
    </xf>
    <xf numFmtId="168" fontId="35" fillId="0" borderId="31" xfId="0" applyNumberFormat="1" applyFont="1" applyBorder="1" applyAlignment="1">
      <alignment horizontal="right" wrapText="1"/>
    </xf>
    <xf numFmtId="168" fontId="13" fillId="0" borderId="31" xfId="0" applyNumberFormat="1" applyFont="1" applyBorder="1" applyAlignment="1">
      <alignment horizontal="right" wrapText="1"/>
    </xf>
    <xf numFmtId="168" fontId="35" fillId="0" borderId="0" xfId="0" applyNumberFormat="1" applyFont="1" applyAlignment="1">
      <alignment horizontal="right" wrapText="1"/>
    </xf>
    <xf numFmtId="0" fontId="3" fillId="6" borderId="0" xfId="0" applyFont="1" applyFill="1"/>
    <xf numFmtId="0" fontId="4" fillId="6" borderId="25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0" fontId="4" fillId="6" borderId="3" xfId="0" applyFont="1" applyFill="1" applyBorder="1"/>
    <xf numFmtId="0" fontId="0" fillId="6" borderId="0" xfId="0" applyFill="1"/>
    <xf numFmtId="171" fontId="4" fillId="6" borderId="3" xfId="0" applyNumberFormat="1" applyFont="1" applyFill="1" applyBorder="1" applyAlignment="1">
      <alignment horizontal="center"/>
    </xf>
    <xf numFmtId="9" fontId="4" fillId="6" borderId="3" xfId="4" applyFont="1" applyFill="1" applyBorder="1" applyAlignment="1">
      <alignment horizontal="center"/>
    </xf>
    <xf numFmtId="38" fontId="0" fillId="6" borderId="0" xfId="0" applyNumberFormat="1" applyFill="1"/>
    <xf numFmtId="38" fontId="4" fillId="6" borderId="3" xfId="0" applyNumberFormat="1" applyFont="1" applyFill="1" applyBorder="1" applyAlignment="1">
      <alignment horizontal="center"/>
    </xf>
    <xf numFmtId="38" fontId="6" fillId="6" borderId="24" xfId="0" applyNumberFormat="1" applyFont="1" applyFill="1" applyBorder="1" applyAlignment="1">
      <alignment horizontal="center"/>
    </xf>
    <xf numFmtId="9" fontId="6" fillId="6" borderId="4" xfId="4" applyFont="1" applyFill="1" applyBorder="1" applyAlignment="1">
      <alignment horizontal="right"/>
    </xf>
    <xf numFmtId="38" fontId="3" fillId="6" borderId="0" xfId="0" applyNumberFormat="1" applyFont="1" applyFill="1" applyAlignment="1">
      <alignment horizontal="center"/>
    </xf>
    <xf numFmtId="38" fontId="4" fillId="6" borderId="3" xfId="0" applyNumberFormat="1" applyFont="1" applyFill="1" applyBorder="1"/>
    <xf numFmtId="38" fontId="6" fillId="6" borderId="4" xfId="0" applyNumberFormat="1" applyFont="1" applyFill="1" applyBorder="1" applyAlignment="1">
      <alignment horizontal="center"/>
    </xf>
    <xf numFmtId="38" fontId="6" fillId="6" borderId="3" xfId="0" applyNumberFormat="1" applyFont="1" applyFill="1" applyBorder="1" applyAlignment="1">
      <alignment horizontal="center"/>
    </xf>
    <xf numFmtId="0" fontId="4" fillId="6" borderId="5" xfId="0" applyFont="1" applyFill="1" applyBorder="1"/>
    <xf numFmtId="0" fontId="6" fillId="0" borderId="25" xfId="0" applyFont="1" applyBorder="1" applyAlignment="1">
      <alignment horizontal="center" vertical="center" wrapText="1"/>
    </xf>
    <xf numFmtId="0" fontId="27" fillId="0" borderId="0" xfId="3" applyFont="1"/>
    <xf numFmtId="0" fontId="39" fillId="0" borderId="0" xfId="5" applyFont="1" applyAlignment="1">
      <alignment horizontal="center"/>
    </xf>
    <xf numFmtId="3" fontId="7" fillId="0" borderId="0" xfId="3" applyNumberFormat="1" applyFont="1"/>
    <xf numFmtId="0" fontId="39" fillId="0" borderId="0" xfId="5" applyFont="1"/>
    <xf numFmtId="0" fontId="27" fillId="0" borderId="19" xfId="3" applyFont="1" applyBorder="1"/>
    <xf numFmtId="3" fontId="27" fillId="0" borderId="19" xfId="3" applyNumberFormat="1" applyFont="1" applyBorder="1" applyAlignment="1">
      <alignment horizontal="center" wrapText="1"/>
    </xf>
    <xf numFmtId="0" fontId="27" fillId="0" borderId="19" xfId="3" applyFont="1" applyBorder="1" applyAlignment="1">
      <alignment horizontal="center" wrapText="1"/>
    </xf>
    <xf numFmtId="3" fontId="7" fillId="0" borderId="19" xfId="3" applyNumberFormat="1" applyFont="1" applyBorder="1"/>
    <xf numFmtId="3" fontId="27" fillId="0" borderId="0" xfId="3" applyNumberFormat="1" applyFont="1" applyAlignment="1">
      <alignment horizontal="center" wrapText="1"/>
    </xf>
    <xf numFmtId="0" fontId="27" fillId="0" borderId="0" xfId="3" applyFont="1" applyAlignment="1">
      <alignment horizontal="center" wrapText="1"/>
    </xf>
    <xf numFmtId="3" fontId="24" fillId="0" borderId="0" xfId="5" applyNumberFormat="1"/>
    <xf numFmtId="0" fontId="3" fillId="6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27" fillId="7" borderId="0" xfId="3" applyFont="1" applyFill="1"/>
    <xf numFmtId="3" fontId="7" fillId="7" borderId="0" xfId="3" applyNumberFormat="1" applyFont="1" applyFill="1"/>
    <xf numFmtId="0" fontId="27" fillId="0" borderId="0" xfId="3" applyFont="1" applyAlignment="1">
      <alignment horizontal="right"/>
    </xf>
    <xf numFmtId="0" fontId="48" fillId="0" borderId="0" xfId="5" applyFont="1"/>
    <xf numFmtId="3" fontId="27" fillId="0" borderId="0" xfId="3" applyNumberFormat="1" applyFont="1"/>
    <xf numFmtId="0" fontId="27" fillId="0" borderId="0" xfId="3" applyFont="1" applyAlignment="1">
      <alignment wrapText="1"/>
    </xf>
    <xf numFmtId="0" fontId="27" fillId="0" borderId="32" xfId="3" applyFont="1" applyBorder="1" applyAlignment="1">
      <alignment horizontal="right"/>
    </xf>
    <xf numFmtId="3" fontId="27" fillId="0" borderId="32" xfId="3" applyNumberFormat="1" applyFont="1" applyBorder="1"/>
    <xf numFmtId="0" fontId="49" fillId="0" borderId="0" xfId="3" applyFont="1"/>
    <xf numFmtId="0" fontId="40" fillId="0" borderId="26" xfId="5" applyFont="1" applyBorder="1" applyAlignment="1">
      <alignment horizontal="center" wrapText="1"/>
    </xf>
    <xf numFmtId="0" fontId="45" fillId="0" borderId="26" xfId="5" applyFont="1" applyBorder="1" applyAlignment="1">
      <alignment horizontal="center" wrapText="1"/>
    </xf>
    <xf numFmtId="169" fontId="42" fillId="0" borderId="0" xfId="5" applyNumberFormat="1" applyFont="1" applyAlignment="1">
      <alignment wrapText="1"/>
    </xf>
    <xf numFmtId="169" fontId="46" fillId="0" borderId="0" xfId="5" applyNumberFormat="1" applyFont="1" applyAlignment="1">
      <alignment wrapText="1"/>
    </xf>
    <xf numFmtId="169" fontId="42" fillId="0" borderId="0" xfId="5" applyNumberFormat="1" applyFont="1" applyAlignment="1">
      <alignment horizontal="right" wrapText="1"/>
    </xf>
    <xf numFmtId="168" fontId="41" fillId="0" borderId="7" xfId="5" applyNumberFormat="1" applyFont="1" applyBorder="1" applyAlignment="1">
      <alignment horizontal="right" wrapText="1"/>
    </xf>
    <xf numFmtId="168" fontId="47" fillId="0" borderId="7" xfId="5" applyNumberFormat="1" applyFont="1" applyBorder="1" applyAlignment="1">
      <alignment horizontal="right" wrapText="1"/>
    </xf>
    <xf numFmtId="0" fontId="50" fillId="0" borderId="26" xfId="5" applyFont="1" applyBorder="1" applyAlignment="1">
      <alignment horizontal="center" wrapText="1"/>
    </xf>
    <xf numFmtId="169" fontId="51" fillId="0" borderId="0" xfId="5" applyNumberFormat="1" applyFont="1" applyAlignment="1">
      <alignment wrapText="1"/>
    </xf>
    <xf numFmtId="168" fontId="52" fillId="0" borderId="7" xfId="5" applyNumberFormat="1" applyFont="1" applyBorder="1" applyAlignment="1">
      <alignment horizontal="right" wrapText="1"/>
    </xf>
    <xf numFmtId="3" fontId="34" fillId="0" borderId="0" xfId="3" applyNumberFormat="1" applyFont="1"/>
    <xf numFmtId="3" fontId="7" fillId="6" borderId="19" xfId="3" applyNumberFormat="1" applyFont="1" applyFill="1" applyBorder="1"/>
    <xf numFmtId="3" fontId="7" fillId="3" borderId="0" xfId="3" applyNumberFormat="1" applyFont="1" applyFill="1"/>
    <xf numFmtId="0" fontId="41" fillId="0" borderId="0" xfId="5" applyFont="1" applyAlignment="1">
      <alignment horizontal="left" wrapText="1"/>
    </xf>
    <xf numFmtId="0" fontId="54" fillId="0" borderId="25" xfId="0" applyFont="1" applyBorder="1"/>
    <xf numFmtId="173" fontId="53" fillId="0" borderId="25" xfId="0" applyNumberFormat="1" applyFont="1" applyBorder="1"/>
    <xf numFmtId="0" fontId="24" fillId="4" borderId="0" xfId="5" applyFill="1"/>
    <xf numFmtId="164" fontId="2" fillId="0" borderId="0" xfId="0" applyNumberFormat="1" applyFont="1" applyAlignment="1">
      <alignment horizontal="left"/>
    </xf>
    <xf numFmtId="0" fontId="3" fillId="8" borderId="25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/>
    </xf>
    <xf numFmtId="171" fontId="56" fillId="0" borderId="3" xfId="0" applyNumberFormat="1" applyFont="1" applyBorder="1" applyAlignment="1">
      <alignment horizontal="center"/>
    </xf>
    <xf numFmtId="38" fontId="56" fillId="0" borderId="3" xfId="0" applyNumberFormat="1" applyFont="1" applyBorder="1" applyAlignment="1">
      <alignment horizontal="center"/>
    </xf>
    <xf numFmtId="38" fontId="56" fillId="0" borderId="4" xfId="0" applyNumberFormat="1" applyFont="1" applyBorder="1" applyAlignment="1">
      <alignment horizontal="center"/>
    </xf>
    <xf numFmtId="0" fontId="56" fillId="0" borderId="5" xfId="0" applyFont="1" applyBorder="1"/>
    <xf numFmtId="3" fontId="34" fillId="7" borderId="0" xfId="3" applyNumberFormat="1" applyFont="1" applyFill="1"/>
    <xf numFmtId="0" fontId="55" fillId="0" borderId="0" xfId="5" applyFont="1"/>
    <xf numFmtId="3" fontId="35" fillId="0" borderId="32" xfId="3" applyNumberFormat="1" applyFont="1" applyBorder="1"/>
    <xf numFmtId="3" fontId="35" fillId="0" borderId="0" xfId="3" applyNumberFormat="1" applyFont="1"/>
    <xf numFmtId="0" fontId="3" fillId="6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5" applyFont="1" applyAlignment="1">
      <alignment horizontal="center"/>
    </xf>
    <xf numFmtId="0" fontId="24" fillId="0" borderId="0" xfId="5"/>
    <xf numFmtId="0" fontId="12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42" fillId="0" borderId="0" xfId="5" applyFont="1" applyAlignment="1">
      <alignment horizontal="center"/>
    </xf>
    <xf numFmtId="0" fontId="43" fillId="0" borderId="0" xfId="5" applyFont="1" applyAlignment="1">
      <alignment horizontal="center"/>
    </xf>
    <xf numFmtId="0" fontId="44" fillId="0" borderId="0" xfId="5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/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168" fontId="41" fillId="0" borderId="7" xfId="5" applyNumberFormat="1" applyFont="1" applyFill="1" applyBorder="1" applyAlignment="1">
      <alignment horizontal="right" wrapText="1"/>
    </xf>
    <xf numFmtId="0" fontId="40" fillId="0" borderId="26" xfId="5" applyFont="1" applyFill="1" applyBorder="1" applyAlignment="1">
      <alignment horizontal="center" wrapText="1"/>
    </xf>
    <xf numFmtId="169" fontId="42" fillId="0" borderId="0" xfId="5" applyNumberFormat="1" applyFont="1" applyFill="1" applyBorder="1" applyAlignment="1">
      <alignment wrapText="1"/>
    </xf>
    <xf numFmtId="169" fontId="42" fillId="0" borderId="0" xfId="5" applyNumberFormat="1" applyFont="1" applyFill="1" applyBorder="1" applyAlignment="1">
      <alignment horizontal="right" wrapText="1"/>
    </xf>
    <xf numFmtId="0" fontId="0" fillId="0" borderId="0" xfId="0" applyFill="1" applyBorder="1"/>
    <xf numFmtId="169" fontId="42" fillId="0" borderId="0" xfId="5" applyNumberFormat="1" applyFont="1" applyFill="1" applyAlignment="1">
      <alignment wrapText="1"/>
    </xf>
    <xf numFmtId="169" fontId="42" fillId="0" borderId="0" xfId="5" applyNumberFormat="1" applyFont="1" applyFill="1" applyAlignment="1">
      <alignment horizontal="right" wrapText="1"/>
    </xf>
    <xf numFmtId="0" fontId="0" fillId="0" borderId="0" xfId="0" applyFill="1"/>
  </cellXfs>
  <cellStyles count="8">
    <cellStyle name="Bad" xfId="6" builtinId="27"/>
    <cellStyle name="Excel_BuiltIn_Input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Normal 5" xfId="7" xr:uid="{226BF24B-63B3-491A-BB91-EA702D925672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Dickson" id="{3065AEAF-0E67-40A7-A85E-0795EBB0CAB3}" userId="5dfd686a4e56139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6" dT="2021-01-25T13:27:38.72" personId="{3065AEAF-0E67-40A7-A85E-0795EBB0CAB3}" id="{77426103-B555-4EBC-8383-52DB4893D464}">
    <text>provision for repairs and maintenance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2" dT="2021-05-06T10:22:05.40" personId="{3065AEAF-0E67-40A7-A85E-0795EBB0CAB3}" id="{2B0B2B8E-B576-4C62-A131-81331ADC8B81}">
    <text>The balance Bumpz to Babez moved to Youthwork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0" dT="2021-10-29T09:49:22.86" personId="{3065AEAF-0E67-40A7-A85E-0795EBB0CAB3}" id="{48534462-DFA6-444E-B985-BA47D1D38B0C}">
    <text>invoice for £1196.10 raised and paid in October</text>
  </threadedComment>
  <threadedComment ref="B30" dT="2021-05-06T10:22:34.61" personId="{3065AEAF-0E67-40A7-A85E-0795EBB0CAB3}" id="{1F5F4206-21B5-4FE7-88CE-52A2846F2279}">
    <text>Balance Byumpz to Babez moved to Youthwork for purchasing the screen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C3" sqref="C3"/>
    </sheetView>
  </sheetViews>
  <sheetFormatPr defaultRowHeight="12.75" x14ac:dyDescent="0.2"/>
  <cols>
    <col min="1" max="1" width="19" customWidth="1"/>
    <col min="3" max="3" width="10.140625" bestFit="1" customWidth="1"/>
    <col min="9" max="9" width="10.140625" bestFit="1" customWidth="1"/>
  </cols>
  <sheetData>
    <row r="1" spans="1:10" x14ac:dyDescent="0.2">
      <c r="I1" s="97">
        <v>42551</v>
      </c>
      <c r="J1" s="98" t="s">
        <v>248</v>
      </c>
    </row>
    <row r="2" spans="1:10" x14ac:dyDescent="0.2">
      <c r="A2" t="s">
        <v>244</v>
      </c>
      <c r="C2" s="95">
        <v>45199</v>
      </c>
      <c r="I2" s="97">
        <v>42643</v>
      </c>
      <c r="J2" s="99" t="s">
        <v>247</v>
      </c>
    </row>
    <row r="3" spans="1:10" x14ac:dyDescent="0.2">
      <c r="I3" s="97">
        <v>42735</v>
      </c>
      <c r="J3" s="99" t="s">
        <v>246</v>
      </c>
    </row>
    <row r="4" spans="1:10" x14ac:dyDescent="0.2">
      <c r="A4" t="s">
        <v>245</v>
      </c>
      <c r="I4" s="97">
        <v>42825</v>
      </c>
      <c r="J4" s="99" t="s">
        <v>259</v>
      </c>
    </row>
    <row r="5" spans="1:10" x14ac:dyDescent="0.2">
      <c r="I5" s="97">
        <v>43190</v>
      </c>
      <c r="J5" s="99" t="s">
        <v>317</v>
      </c>
    </row>
    <row r="6" spans="1:10" x14ac:dyDescent="0.2">
      <c r="A6" t="s">
        <v>49</v>
      </c>
      <c r="C6" t="s">
        <v>303</v>
      </c>
      <c r="I6" s="96">
        <v>43373</v>
      </c>
      <c r="J6" s="99" t="s">
        <v>325</v>
      </c>
    </row>
    <row r="7" spans="1:10" x14ac:dyDescent="0.2">
      <c r="J7" s="146" t="s">
        <v>324</v>
      </c>
    </row>
    <row r="8" spans="1:10" x14ac:dyDescent="0.2">
      <c r="A8" t="s">
        <v>112</v>
      </c>
      <c r="C8" t="s">
        <v>250</v>
      </c>
    </row>
    <row r="10" spans="1:10" x14ac:dyDescent="0.2">
      <c r="A10" t="s">
        <v>176</v>
      </c>
      <c r="C10" t="s">
        <v>251</v>
      </c>
    </row>
    <row r="24" spans="3:3" x14ac:dyDescent="0.2">
      <c r="C24" s="96">
        <v>43190</v>
      </c>
    </row>
    <row r="25" spans="3:3" x14ac:dyDescent="0.2">
      <c r="C25" s="96">
        <v>43281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K71"/>
  <sheetViews>
    <sheetView workbookViewId="0">
      <selection activeCell="H40" sqref="H40"/>
    </sheetView>
  </sheetViews>
  <sheetFormatPr defaultRowHeight="12.75" x14ac:dyDescent="0.2"/>
  <cols>
    <col min="1" max="1" width="29.5703125" customWidth="1"/>
    <col min="2" max="2" width="22" customWidth="1"/>
    <col min="3" max="3" width="19.140625" customWidth="1"/>
    <col min="4" max="4" width="18.7109375" customWidth="1"/>
    <col min="8" max="8" width="41.140625" customWidth="1"/>
    <col min="9" max="9" width="9.85546875" customWidth="1"/>
    <col min="11" max="11" width="10.5703125" customWidth="1"/>
  </cols>
  <sheetData>
    <row r="1" spans="1:11" ht="18" x14ac:dyDescent="0.25">
      <c r="A1" s="308" t="s">
        <v>0</v>
      </c>
      <c r="B1" s="300"/>
      <c r="C1" s="300"/>
      <c r="D1" s="300"/>
      <c r="E1" s="91"/>
      <c r="F1" s="91"/>
      <c r="G1" s="91"/>
      <c r="H1" s="91"/>
      <c r="I1" s="91"/>
      <c r="J1" s="91"/>
      <c r="K1" s="91"/>
    </row>
    <row r="2" spans="1:11" ht="18" x14ac:dyDescent="0.25">
      <c r="A2" s="308" t="s">
        <v>220</v>
      </c>
      <c r="B2" s="300"/>
      <c r="C2" s="300"/>
      <c r="D2" s="300"/>
    </row>
    <row r="3" spans="1:11" x14ac:dyDescent="0.2">
      <c r="A3" s="307" t="s">
        <v>444</v>
      </c>
      <c r="B3" s="307"/>
      <c r="C3" s="307"/>
      <c r="D3" s="307"/>
    </row>
    <row r="5" spans="1:11" x14ac:dyDescent="0.2">
      <c r="A5" s="17"/>
      <c r="B5" s="34" t="s">
        <v>55</v>
      </c>
      <c r="C5" s="34" t="s">
        <v>72</v>
      </c>
      <c r="D5" s="34" t="s">
        <v>111</v>
      </c>
    </row>
    <row r="6" spans="1:11" ht="12.75" customHeight="1" x14ac:dyDescent="0.2">
      <c r="A6" s="35" t="s">
        <v>2</v>
      </c>
      <c r="B6" s="36"/>
      <c r="C6" s="178"/>
      <c r="D6" s="37">
        <v>0</v>
      </c>
    </row>
    <row r="7" spans="1:11" ht="12.75" customHeight="1" x14ac:dyDescent="0.2">
      <c r="A7" s="35" t="s">
        <v>221</v>
      </c>
      <c r="B7" s="36"/>
      <c r="C7" s="178"/>
      <c r="D7" s="37">
        <v>0</v>
      </c>
    </row>
    <row r="8" spans="1:11" ht="12.75" customHeight="1" x14ac:dyDescent="0.2">
      <c r="A8" s="35" t="s">
        <v>222</v>
      </c>
      <c r="B8" s="37">
        <v>0</v>
      </c>
      <c r="C8" s="202">
        <v>0</v>
      </c>
      <c r="D8" s="139">
        <f t="shared" ref="D8:D13" si="0">B8+C8</f>
        <v>0</v>
      </c>
    </row>
    <row r="9" spans="1:11" ht="12.75" customHeight="1" x14ac:dyDescent="0.2">
      <c r="A9" s="35" t="s">
        <v>223</v>
      </c>
      <c r="B9" s="39">
        <f>B7+B8</f>
        <v>0</v>
      </c>
      <c r="C9" s="203">
        <f>C7+C8</f>
        <v>0</v>
      </c>
      <c r="D9" s="39">
        <f t="shared" si="0"/>
        <v>0</v>
      </c>
    </row>
    <row r="10" spans="1:11" ht="12.75" customHeight="1" x14ac:dyDescent="0.2">
      <c r="A10" s="35" t="s">
        <v>224</v>
      </c>
      <c r="B10" s="36">
        <v>0</v>
      </c>
      <c r="C10" s="180">
        <v>0</v>
      </c>
      <c r="D10" s="37">
        <f t="shared" si="0"/>
        <v>0</v>
      </c>
    </row>
    <row r="11" spans="1:11" ht="12.75" customHeight="1" x14ac:dyDescent="0.2">
      <c r="A11" s="35" t="s">
        <v>225</v>
      </c>
      <c r="B11" s="36"/>
      <c r="C11" s="178"/>
      <c r="D11" s="37">
        <f t="shared" si="0"/>
        <v>0</v>
      </c>
    </row>
    <row r="12" spans="1:11" ht="12.75" customHeight="1" x14ac:dyDescent="0.2">
      <c r="A12" s="35" t="s">
        <v>252</v>
      </c>
      <c r="B12" s="37">
        <v>0</v>
      </c>
      <c r="C12" s="202">
        <v>0</v>
      </c>
      <c r="D12" s="139">
        <f t="shared" si="0"/>
        <v>0</v>
      </c>
    </row>
    <row r="13" spans="1:11" ht="12.75" customHeight="1" x14ac:dyDescent="0.2">
      <c r="A13" s="35" t="s">
        <v>253</v>
      </c>
      <c r="B13" s="39">
        <f>B11+B12</f>
        <v>0</v>
      </c>
      <c r="C13" s="203">
        <f>C11+C12+C10</f>
        <v>0</v>
      </c>
      <c r="D13" s="144">
        <f t="shared" si="0"/>
        <v>0</v>
      </c>
    </row>
    <row r="14" spans="1:11" ht="12.75" customHeight="1" x14ac:dyDescent="0.2">
      <c r="A14" s="35" t="s">
        <v>226</v>
      </c>
      <c r="B14" s="36"/>
      <c r="C14" s="178"/>
      <c r="D14" s="37">
        <v>0</v>
      </c>
    </row>
    <row r="15" spans="1:11" ht="12.75" customHeight="1" x14ac:dyDescent="0.2">
      <c r="A15" s="35" t="s">
        <v>233</v>
      </c>
      <c r="B15" s="37">
        <v>0</v>
      </c>
      <c r="C15" s="202">
        <v>-3577.69</v>
      </c>
      <c r="D15" s="37">
        <f>B15+C15</f>
        <v>-3577.69</v>
      </c>
    </row>
    <row r="16" spans="1:11" ht="12.75" customHeight="1" x14ac:dyDescent="0.2">
      <c r="A16" s="35" t="s">
        <v>227</v>
      </c>
      <c r="B16" s="36">
        <v>0</v>
      </c>
      <c r="C16" s="202">
        <v>0</v>
      </c>
      <c r="D16" s="139">
        <f>B16+C16</f>
        <v>0</v>
      </c>
    </row>
    <row r="17" spans="1:4" ht="12.75" customHeight="1" x14ac:dyDescent="0.2">
      <c r="A17" s="35" t="s">
        <v>228</v>
      </c>
      <c r="B17" s="39">
        <f>B15+B16</f>
        <v>0</v>
      </c>
      <c r="C17" s="203">
        <f>C15+C16</f>
        <v>-3577.69</v>
      </c>
      <c r="D17" s="144">
        <f>B17+C17</f>
        <v>-3577.69</v>
      </c>
    </row>
    <row r="18" spans="1:4" ht="12.75" customHeight="1" x14ac:dyDescent="0.2">
      <c r="A18" s="35" t="s">
        <v>23</v>
      </c>
      <c r="B18" s="37">
        <v>2000</v>
      </c>
      <c r="C18" s="202">
        <v>-600.03</v>
      </c>
      <c r="D18" s="37">
        <f>B18+C18</f>
        <v>1399.97</v>
      </c>
    </row>
    <row r="19" spans="1:4" ht="12.75" customHeight="1" x14ac:dyDescent="0.2">
      <c r="A19" s="35" t="s">
        <v>229</v>
      </c>
      <c r="B19" s="36"/>
      <c r="C19" s="178"/>
      <c r="D19" s="37">
        <v>0</v>
      </c>
    </row>
    <row r="20" spans="1:4" ht="12.75" customHeight="1" x14ac:dyDescent="0.2">
      <c r="A20" s="35" t="s">
        <v>230</v>
      </c>
      <c r="B20" s="37">
        <v>0</v>
      </c>
      <c r="C20" s="202">
        <v>0</v>
      </c>
      <c r="D20" s="139">
        <f>B20+C20</f>
        <v>0</v>
      </c>
    </row>
    <row r="21" spans="1:4" ht="12.75" customHeight="1" x14ac:dyDescent="0.2">
      <c r="A21" s="35" t="s">
        <v>231</v>
      </c>
      <c r="B21" s="39">
        <f>B19+B20</f>
        <v>0</v>
      </c>
      <c r="C21" s="203">
        <f>C19+C20</f>
        <v>0</v>
      </c>
      <c r="D21" s="144">
        <f>B21+C21</f>
        <v>0</v>
      </c>
    </row>
    <row r="22" spans="1:4" ht="12.75" hidden="1" customHeight="1" x14ac:dyDescent="0.2">
      <c r="A22" s="35" t="s">
        <v>234</v>
      </c>
      <c r="B22" s="37">
        <v>0</v>
      </c>
      <c r="C22" s="202">
        <v>0</v>
      </c>
      <c r="D22" s="37">
        <v>0</v>
      </c>
    </row>
    <row r="23" spans="1:4" ht="12.75" hidden="1" customHeight="1" x14ac:dyDescent="0.2">
      <c r="A23" s="35" t="s">
        <v>236</v>
      </c>
      <c r="B23" s="36"/>
      <c r="C23" s="178"/>
      <c r="D23" s="37"/>
    </row>
    <row r="24" spans="1:4" ht="12.75" hidden="1" customHeight="1" x14ac:dyDescent="0.2">
      <c r="A24" s="35" t="s">
        <v>237</v>
      </c>
      <c r="B24" s="36"/>
      <c r="C24" s="202">
        <v>0</v>
      </c>
      <c r="D24" s="140">
        <v>0</v>
      </c>
    </row>
    <row r="25" spans="1:4" ht="12.75" hidden="1" customHeight="1" x14ac:dyDescent="0.2">
      <c r="A25" s="35" t="s">
        <v>239</v>
      </c>
      <c r="B25" s="39">
        <f>B23+B24</f>
        <v>0</v>
      </c>
      <c r="C25" s="203">
        <f>C23+C24</f>
        <v>0</v>
      </c>
      <c r="D25" s="144">
        <f>B25+C25</f>
        <v>0</v>
      </c>
    </row>
    <row r="26" spans="1:4" ht="12.75" customHeight="1" x14ac:dyDescent="0.2">
      <c r="A26" s="35" t="s">
        <v>54</v>
      </c>
      <c r="B26" s="39">
        <f>B9+B13+B17+B18+B21+B25+B22</f>
        <v>2000</v>
      </c>
      <c r="C26" s="206">
        <f>C9+C13+C17+C18+C21+C25</f>
        <v>-4177.72</v>
      </c>
      <c r="D26" s="207">
        <f>D9+D13+D17+D18+D21+D25+D22</f>
        <v>-2177.7200000000003</v>
      </c>
    </row>
    <row r="27" spans="1:4" ht="12.75" customHeight="1" x14ac:dyDescent="0.2">
      <c r="A27" s="35"/>
      <c r="B27" s="147"/>
      <c r="C27" s="208"/>
      <c r="D27" s="144"/>
    </row>
    <row r="28" spans="1:4" ht="12.75" customHeight="1" x14ac:dyDescent="0.2">
      <c r="A28" s="35" t="s">
        <v>435</v>
      </c>
      <c r="B28" s="144">
        <v>0</v>
      </c>
      <c r="C28" s="208">
        <v>0</v>
      </c>
      <c r="D28" s="144">
        <f t="shared" ref="D28:D34" si="1">B28+C28</f>
        <v>0</v>
      </c>
    </row>
    <row r="29" spans="1:4" ht="12.75" customHeight="1" x14ac:dyDescent="0.2">
      <c r="A29" s="35" t="s">
        <v>382</v>
      </c>
      <c r="B29" s="37">
        <v>0</v>
      </c>
      <c r="C29" s="208">
        <v>0</v>
      </c>
      <c r="D29" s="144">
        <f t="shared" si="1"/>
        <v>0</v>
      </c>
    </row>
    <row r="30" spans="1:4" ht="12.75" customHeight="1" x14ac:dyDescent="0.2">
      <c r="A30" s="35" t="s">
        <v>445</v>
      </c>
      <c r="B30" s="147">
        <v>19.190000000000001</v>
      </c>
      <c r="C30" s="193">
        <v>-38.380000000000003</v>
      </c>
      <c r="D30" s="147">
        <f t="shared" si="1"/>
        <v>-19.190000000000001</v>
      </c>
    </row>
    <row r="31" spans="1:4" ht="12.75" customHeight="1" x14ac:dyDescent="0.2">
      <c r="A31" s="35" t="s">
        <v>439</v>
      </c>
      <c r="B31" s="37">
        <v>100</v>
      </c>
      <c r="C31" s="208">
        <v>-2439.42</v>
      </c>
      <c r="D31" s="144">
        <f t="shared" si="1"/>
        <v>-2339.42</v>
      </c>
    </row>
    <row r="32" spans="1:4" ht="12.75" customHeight="1" x14ac:dyDescent="0.2">
      <c r="A32" s="35" t="s">
        <v>418</v>
      </c>
      <c r="B32" s="37">
        <v>2325.2399999999998</v>
      </c>
      <c r="C32" s="208">
        <v>-794.89</v>
      </c>
      <c r="D32" s="144">
        <f t="shared" si="1"/>
        <v>1530.35</v>
      </c>
    </row>
    <row r="33" spans="1:4" ht="12.75" customHeight="1" x14ac:dyDescent="0.2">
      <c r="A33" s="35" t="s">
        <v>426</v>
      </c>
      <c r="B33" s="37">
        <v>158</v>
      </c>
      <c r="C33" s="208">
        <v>-744.23</v>
      </c>
      <c r="D33" s="144">
        <f t="shared" si="1"/>
        <v>-586.23</v>
      </c>
    </row>
    <row r="34" spans="1:4" ht="12.75" customHeight="1" x14ac:dyDescent="0.2">
      <c r="A34" s="35" t="s">
        <v>428</v>
      </c>
      <c r="B34" s="37">
        <v>3773.77</v>
      </c>
      <c r="C34" s="208">
        <v>-1788.31</v>
      </c>
      <c r="D34" s="144">
        <f t="shared" si="1"/>
        <v>1985.46</v>
      </c>
    </row>
    <row r="35" spans="1:4" ht="12.75" customHeight="1" x14ac:dyDescent="0.2">
      <c r="A35" s="35" t="s">
        <v>431</v>
      </c>
      <c r="B35" s="37">
        <v>0</v>
      </c>
      <c r="C35" s="208">
        <v>0</v>
      </c>
      <c r="D35" s="144">
        <f t="shared" ref="D35:D37" si="2">B35+C35</f>
        <v>0</v>
      </c>
    </row>
    <row r="36" spans="1:4" ht="12.75" customHeight="1" x14ac:dyDescent="0.2">
      <c r="A36" s="35" t="s">
        <v>440</v>
      </c>
      <c r="B36" s="37">
        <f>4+665.75</f>
        <v>669.75</v>
      </c>
      <c r="C36" s="208">
        <v>-85.02</v>
      </c>
      <c r="D36" s="144">
        <f t="shared" si="2"/>
        <v>584.73</v>
      </c>
    </row>
    <row r="37" spans="1:4" ht="12.75" customHeight="1" x14ac:dyDescent="0.2">
      <c r="A37" s="35" t="s">
        <v>432</v>
      </c>
      <c r="B37" s="37">
        <v>0</v>
      </c>
      <c r="C37" s="208">
        <v>0</v>
      </c>
      <c r="D37" s="144">
        <f t="shared" si="2"/>
        <v>0</v>
      </c>
    </row>
    <row r="38" spans="1:4" ht="12.75" customHeight="1" x14ac:dyDescent="0.2">
      <c r="A38" s="35"/>
      <c r="B38" s="147"/>
      <c r="C38" s="193"/>
      <c r="D38" s="147"/>
    </row>
    <row r="39" spans="1:4" ht="12.75" customHeight="1" x14ac:dyDescent="0.2">
      <c r="A39" s="35" t="s">
        <v>302</v>
      </c>
      <c r="B39" s="39">
        <f>B29+B26+B30+B32+B33+B34+B35+B37+B28+B31+B36</f>
        <v>9045.9500000000007</v>
      </c>
      <c r="C39" s="39">
        <f>C29+C26+C30+C32+C33+C34+C35+C37+C28+C31+C36</f>
        <v>-10067.970000000001</v>
      </c>
      <c r="D39" s="39">
        <f t="shared" ref="D39" si="3">D29+D26+D30+D32+D33+D34+D35+D37+D28+D31+D36</f>
        <v>-1022.0200000000004</v>
      </c>
    </row>
    <row r="40" spans="1:4" ht="12.75" customHeight="1" x14ac:dyDescent="0.2">
      <c r="A40" s="35" t="s">
        <v>255</v>
      </c>
      <c r="B40" s="39" t="e">
        <f>'Funds Analysis'!#REF!</f>
        <v>#REF!</v>
      </c>
      <c r="C40" s="204" t="e">
        <f>-'Funds Analysis'!#REF!</f>
        <v>#REF!</v>
      </c>
      <c r="D40" s="39" t="e">
        <f>(B40)+(C40)</f>
        <v>#REF!</v>
      </c>
    </row>
    <row r="41" spans="1:4" ht="12.75" customHeight="1" x14ac:dyDescent="0.2">
      <c r="A41" s="35" t="s">
        <v>235</v>
      </c>
      <c r="B41" s="90" t="e">
        <f>B39-B40</f>
        <v>#REF!</v>
      </c>
      <c r="C41" s="203" t="e">
        <f>C39-C40</f>
        <v>#REF!</v>
      </c>
      <c r="D41" s="39" t="e">
        <f>(B41)+(C41)</f>
        <v>#REF!</v>
      </c>
    </row>
    <row r="42" spans="1:4" ht="12.75" customHeight="1" x14ac:dyDescent="0.2">
      <c r="C42" s="179"/>
    </row>
    <row r="43" spans="1:4" ht="12.75" customHeight="1" x14ac:dyDescent="0.2">
      <c r="C43" s="179"/>
    </row>
    <row r="44" spans="1:4" ht="12.75" customHeight="1" x14ac:dyDescent="0.2">
      <c r="C44" s="179"/>
    </row>
    <row r="65" spans="1:6" x14ac:dyDescent="0.2">
      <c r="F65" s="18"/>
    </row>
    <row r="67" spans="1:6" x14ac:dyDescent="0.2">
      <c r="E67" s="18"/>
    </row>
    <row r="69" spans="1:6" x14ac:dyDescent="0.2">
      <c r="A69" s="303"/>
      <c r="B69" s="303"/>
      <c r="C69" s="303"/>
      <c r="D69" s="303"/>
    </row>
    <row r="71" spans="1:6" x14ac:dyDescent="0.2">
      <c r="A71" s="303"/>
      <c r="B71" s="303"/>
      <c r="C71" s="303"/>
      <c r="D71" s="303"/>
    </row>
  </sheetData>
  <sheetProtection selectLockedCells="1" selectUnlockedCells="1"/>
  <mergeCells count="5">
    <mergeCell ref="A71:D71"/>
    <mergeCell ref="A1:D1"/>
    <mergeCell ref="A2:D2"/>
    <mergeCell ref="A3:D3"/>
    <mergeCell ref="A69:D69"/>
  </mergeCells>
  <pageMargins left="0.7" right="0.7" top="0.75" bottom="0.75" header="0.51180555555555551" footer="0.51180555555555551"/>
  <pageSetup paperSize="9" scale="87" firstPageNumber="0" orientation="portrait" horizontalDpi="4294967293" verticalDpi="4294967293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768C-0818-4B1B-8D5D-A0C5B0EAAA61}">
  <sheetPr>
    <tabColor rgb="FF92D050"/>
    <pageSetUpPr fitToPage="1"/>
  </sheetPr>
  <dimension ref="A1:D13"/>
  <sheetViews>
    <sheetView workbookViewId="0">
      <selection activeCell="G18" sqref="G18"/>
    </sheetView>
  </sheetViews>
  <sheetFormatPr defaultRowHeight="12.75" x14ac:dyDescent="0.2"/>
  <cols>
    <col min="2" max="2" width="49.85546875" bestFit="1" customWidth="1"/>
    <col min="4" max="4" width="12.7109375" bestFit="1" customWidth="1"/>
    <col min="6" max="6" width="10.140625" bestFit="1" customWidth="1"/>
  </cols>
  <sheetData>
    <row r="1" spans="1:4" ht="15" x14ac:dyDescent="0.25">
      <c r="A1" s="134"/>
      <c r="B1" s="134" t="s">
        <v>318</v>
      </c>
      <c r="C1" s="135" t="s">
        <v>7</v>
      </c>
      <c r="D1" s="96">
        <v>43921</v>
      </c>
    </row>
    <row r="2" spans="1:4" x14ac:dyDescent="0.2">
      <c r="C2" s="136"/>
    </row>
    <row r="3" spans="1:4" x14ac:dyDescent="0.2">
      <c r="C3" s="148"/>
    </row>
    <row r="4" spans="1:4" s="197" customFormat="1" ht="15" customHeight="1" x14ac:dyDescent="0.2">
      <c r="A4" s="197">
        <v>4130</v>
      </c>
      <c r="B4" s="197" t="s">
        <v>397</v>
      </c>
      <c r="C4" s="198">
        <v>600</v>
      </c>
      <c r="D4" s="199"/>
    </row>
    <row r="5" spans="1:4" s="197" customFormat="1" x14ac:dyDescent="0.2">
      <c r="A5" s="197">
        <v>4120</v>
      </c>
      <c r="B5" s="197" t="s">
        <v>399</v>
      </c>
      <c r="C5" s="198">
        <v>348.01</v>
      </c>
      <c r="D5" s="199" t="s">
        <v>400</v>
      </c>
    </row>
    <row r="6" spans="1:4" s="197" customFormat="1" x14ac:dyDescent="0.2">
      <c r="A6" s="197">
        <v>4110</v>
      </c>
      <c r="B6" s="197" t="s">
        <v>406</v>
      </c>
      <c r="C6" s="198">
        <v>8.01</v>
      </c>
      <c r="D6" s="200">
        <v>26315513</v>
      </c>
    </row>
    <row r="7" spans="1:4" s="197" customFormat="1" x14ac:dyDescent="0.2">
      <c r="A7" s="197">
        <v>8010</v>
      </c>
      <c r="B7" s="197" t="s">
        <v>398</v>
      </c>
      <c r="C7" s="198">
        <v>750</v>
      </c>
      <c r="D7" s="199"/>
    </row>
    <row r="8" spans="1:4" s="197" customFormat="1" x14ac:dyDescent="0.2">
      <c r="A8" s="197">
        <v>1500</v>
      </c>
      <c r="B8" s="197" t="s">
        <v>415</v>
      </c>
      <c r="C8" s="198">
        <v>-2956.21</v>
      </c>
      <c r="D8" s="199"/>
    </row>
    <row r="9" spans="1:4" s="197" customFormat="1" x14ac:dyDescent="0.2">
      <c r="A9" s="197">
        <v>4490</v>
      </c>
      <c r="B9" s="197" t="s">
        <v>422</v>
      </c>
      <c r="C9" s="198">
        <v>7000</v>
      </c>
      <c r="D9" s="199"/>
    </row>
    <row r="10" spans="1:4" s="197" customFormat="1" x14ac:dyDescent="0.2">
      <c r="A10" s="197">
        <v>4490</v>
      </c>
      <c r="B10" s="197" t="s">
        <v>424</v>
      </c>
      <c r="C10" s="198">
        <v>4000</v>
      </c>
      <c r="D10" s="199"/>
    </row>
    <row r="11" spans="1:4" x14ac:dyDescent="0.2">
      <c r="C11" s="136"/>
    </row>
    <row r="12" spans="1:4" ht="15.75" thickBot="1" x14ac:dyDescent="0.3">
      <c r="C12" s="137">
        <f>SUM(C3:C11)</f>
        <v>9749.81</v>
      </c>
    </row>
    <row r="13" spans="1:4" ht="13.5" thickTop="1" x14ac:dyDescent="0.2">
      <c r="C13" s="136"/>
    </row>
  </sheetData>
  <pageMargins left="0.7" right="0.7" top="0.75" bottom="0.75" header="0.3" footer="0.3"/>
  <pageSetup scale="85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B37F-53B1-40E6-8332-7ADED64CC780}">
  <sheetPr>
    <tabColor rgb="FF92D050"/>
  </sheetPr>
  <dimension ref="A1:F15"/>
  <sheetViews>
    <sheetView topLeftCell="A7" workbookViewId="0">
      <selection activeCell="G18" sqref="G18"/>
    </sheetView>
  </sheetViews>
  <sheetFormatPr defaultRowHeight="12.75" x14ac:dyDescent="0.2"/>
  <cols>
    <col min="2" max="2" width="24.5703125" bestFit="1" customWidth="1"/>
    <col min="3" max="3" width="31.140625" customWidth="1"/>
    <col min="5" max="5" width="14.7109375" bestFit="1" customWidth="1"/>
    <col min="6" max="6" width="10.140625" bestFit="1" customWidth="1"/>
  </cols>
  <sheetData>
    <row r="1" spans="1:6" ht="15" x14ac:dyDescent="0.25">
      <c r="A1" s="134"/>
      <c r="B1" s="134" t="s">
        <v>319</v>
      </c>
      <c r="C1" s="134"/>
      <c r="D1" s="135" t="s">
        <v>7</v>
      </c>
      <c r="F1" s="138">
        <v>44286</v>
      </c>
    </row>
    <row r="2" spans="1:6" x14ac:dyDescent="0.2">
      <c r="D2" s="136"/>
      <c r="E2" s="4" t="s">
        <v>331</v>
      </c>
    </row>
    <row r="3" spans="1:6" x14ac:dyDescent="0.2">
      <c r="A3">
        <v>6070</v>
      </c>
      <c r="B3" t="s">
        <v>408</v>
      </c>
      <c r="D3" s="136">
        <f>(129/12)*11</f>
        <v>118.25</v>
      </c>
      <c r="E3" s="192" t="s">
        <v>409</v>
      </c>
    </row>
    <row r="4" spans="1:6" x14ac:dyDescent="0.2">
      <c r="A4">
        <v>6070</v>
      </c>
      <c r="B4" t="s">
        <v>404</v>
      </c>
      <c r="D4" s="136">
        <f>(96/12)*10.5</f>
        <v>84</v>
      </c>
      <c r="E4" s="192"/>
    </row>
    <row r="5" spans="1:6" x14ac:dyDescent="0.2">
      <c r="A5">
        <v>6010</v>
      </c>
      <c r="B5" t="s">
        <v>405</v>
      </c>
      <c r="D5" s="136">
        <f>(99/3)*2</f>
        <v>66</v>
      </c>
      <c r="E5" s="192">
        <v>1002489</v>
      </c>
    </row>
    <row r="6" spans="1:6" x14ac:dyDescent="0.2">
      <c r="A6">
        <v>6060</v>
      </c>
      <c r="B6" t="s">
        <v>407</v>
      </c>
      <c r="D6" s="136">
        <f>(300/12)*9</f>
        <v>225</v>
      </c>
      <c r="E6" s="192">
        <v>3598867</v>
      </c>
      <c r="F6" t="s">
        <v>23</v>
      </c>
    </row>
    <row r="7" spans="1:6" x14ac:dyDescent="0.2">
      <c r="A7">
        <v>6050</v>
      </c>
      <c r="B7" t="s">
        <v>414</v>
      </c>
      <c r="D7" s="136">
        <f>(125.14/12)*10</f>
        <v>104.28333333333333</v>
      </c>
      <c r="E7" s="4"/>
      <c r="F7" t="s">
        <v>23</v>
      </c>
    </row>
    <row r="8" spans="1:6" x14ac:dyDescent="0.2">
      <c r="A8">
        <v>6050</v>
      </c>
      <c r="B8" t="s">
        <v>401</v>
      </c>
      <c r="C8" t="s">
        <v>402</v>
      </c>
      <c r="D8" s="136">
        <f>(224.4/12)*5</f>
        <v>93.5</v>
      </c>
      <c r="E8" s="4" t="s">
        <v>403</v>
      </c>
    </row>
    <row r="9" spans="1:6" x14ac:dyDescent="0.2">
      <c r="A9">
        <v>4200</v>
      </c>
      <c r="B9" t="s">
        <v>411</v>
      </c>
      <c r="C9" t="s">
        <v>410</v>
      </c>
      <c r="D9" s="136">
        <v>75</v>
      </c>
      <c r="E9" s="4">
        <v>505739528</v>
      </c>
    </row>
    <row r="10" spans="1:6" x14ac:dyDescent="0.2">
      <c r="A10">
        <v>6010</v>
      </c>
      <c r="B10" t="s">
        <v>412</v>
      </c>
      <c r="D10" s="136">
        <v>14.39</v>
      </c>
      <c r="E10" s="4" t="s">
        <v>413</v>
      </c>
    </row>
    <row r="11" spans="1:6" x14ac:dyDescent="0.2">
      <c r="A11">
        <v>4420</v>
      </c>
      <c r="B11" s="17" t="s">
        <v>416</v>
      </c>
      <c r="C11" t="s">
        <v>417</v>
      </c>
      <c r="D11" s="136">
        <v>576</v>
      </c>
      <c r="E11" s="149">
        <v>17022</v>
      </c>
    </row>
    <row r="12" spans="1:6" ht="25.5" x14ac:dyDescent="0.2">
      <c r="A12">
        <v>7010</v>
      </c>
      <c r="B12" s="17" t="s">
        <v>419</v>
      </c>
      <c r="D12" s="136">
        <v>140.97999999999999</v>
      </c>
      <c r="E12" s="149" t="s">
        <v>420</v>
      </c>
    </row>
    <row r="13" spans="1:6" x14ac:dyDescent="0.2">
      <c r="B13" s="17"/>
      <c r="D13" s="136"/>
      <c r="E13" s="149"/>
    </row>
    <row r="14" spans="1:6" ht="15.75" thickBot="1" x14ac:dyDescent="0.3">
      <c r="D14" s="137">
        <f>SUM(D3:D12)</f>
        <v>1497.4033333333332</v>
      </c>
    </row>
    <row r="15" spans="1:6" ht="13.5" thickTop="1" x14ac:dyDescent="0.2"/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D70F-3CD3-4DDE-AE20-603782AD1805}">
  <dimension ref="A1:I28"/>
  <sheetViews>
    <sheetView workbookViewId="0">
      <selection activeCell="B27" sqref="B27:B28"/>
    </sheetView>
  </sheetViews>
  <sheetFormatPr defaultRowHeight="12.75" x14ac:dyDescent="0.2"/>
  <sheetData>
    <row r="1" spans="1:9" x14ac:dyDescent="0.2">
      <c r="B1" t="s">
        <v>366</v>
      </c>
      <c r="C1" t="s">
        <v>369</v>
      </c>
      <c r="D1" t="s">
        <v>360</v>
      </c>
      <c r="E1" t="s">
        <v>368</v>
      </c>
      <c r="F1" t="s">
        <v>359</v>
      </c>
      <c r="G1" t="s">
        <v>361</v>
      </c>
      <c r="H1" t="s">
        <v>391</v>
      </c>
    </row>
    <row r="2" spans="1:9" x14ac:dyDescent="0.2">
      <c r="A2" t="s">
        <v>387</v>
      </c>
      <c r="B2">
        <v>534</v>
      </c>
      <c r="C2">
        <v>573.32000000000005</v>
      </c>
      <c r="D2">
        <v>793.48</v>
      </c>
      <c r="E2">
        <v>302.95999999999998</v>
      </c>
      <c r="I2">
        <f t="shared" ref="I2:I7" si="0">SUM(B2:E2)</f>
        <v>2203.7600000000002</v>
      </c>
    </row>
    <row r="3" spans="1:9" x14ac:dyDescent="0.2">
      <c r="A3" t="s">
        <v>390</v>
      </c>
      <c r="B3">
        <v>534</v>
      </c>
      <c r="C3">
        <v>573.32000000000005</v>
      </c>
      <c r="D3">
        <v>793.48</v>
      </c>
      <c r="E3">
        <v>302.95999999999998</v>
      </c>
      <c r="I3">
        <f t="shared" si="0"/>
        <v>2203.7600000000002</v>
      </c>
    </row>
    <row r="4" spans="1:9" x14ac:dyDescent="0.2">
      <c r="A4" t="s">
        <v>386</v>
      </c>
      <c r="B4">
        <v>534</v>
      </c>
      <c r="C4">
        <v>573.32000000000005</v>
      </c>
      <c r="D4">
        <v>793.48</v>
      </c>
      <c r="E4">
        <v>302.95999999999998</v>
      </c>
      <c r="I4">
        <f t="shared" si="0"/>
        <v>2203.7600000000002</v>
      </c>
    </row>
    <row r="5" spans="1:9" x14ac:dyDescent="0.2">
      <c r="A5" t="s">
        <v>389</v>
      </c>
      <c r="B5">
        <v>534</v>
      </c>
      <c r="C5">
        <v>492</v>
      </c>
      <c r="D5">
        <v>757.81</v>
      </c>
      <c r="E5">
        <v>220.72</v>
      </c>
      <c r="I5">
        <f t="shared" si="0"/>
        <v>2004.53</v>
      </c>
    </row>
    <row r="6" spans="1:9" x14ac:dyDescent="0.2">
      <c r="A6" t="s">
        <v>388</v>
      </c>
      <c r="B6">
        <v>534</v>
      </c>
      <c r="C6">
        <v>256.14</v>
      </c>
      <c r="D6">
        <v>329.87</v>
      </c>
      <c r="I6">
        <f>SUM(B6:E6)</f>
        <v>1120.01</v>
      </c>
    </row>
    <row r="7" spans="1:9" x14ac:dyDescent="0.2">
      <c r="A7" t="s">
        <v>385</v>
      </c>
      <c r="B7">
        <v>231.4</v>
      </c>
      <c r="I7">
        <f t="shared" si="0"/>
        <v>231.4</v>
      </c>
    </row>
    <row r="8" spans="1:9" x14ac:dyDescent="0.2">
      <c r="A8" t="s">
        <v>334</v>
      </c>
      <c r="I8">
        <v>0</v>
      </c>
    </row>
    <row r="9" spans="1:9" x14ac:dyDescent="0.2">
      <c r="A9" t="s">
        <v>335</v>
      </c>
      <c r="B9">
        <v>534</v>
      </c>
      <c r="C9">
        <v>450.78</v>
      </c>
      <c r="D9">
        <v>645.84</v>
      </c>
      <c r="E9">
        <v>302.95999999999998</v>
      </c>
      <c r="F9">
        <v>1269.04</v>
      </c>
      <c r="G9">
        <v>317.38</v>
      </c>
      <c r="H9">
        <v>220.8</v>
      </c>
      <c r="I9">
        <f>SUM(B9:H9)</f>
        <v>3740.8</v>
      </c>
    </row>
    <row r="10" spans="1:9" x14ac:dyDescent="0.2">
      <c r="A10" t="s">
        <v>336</v>
      </c>
      <c r="B10">
        <v>534</v>
      </c>
      <c r="C10">
        <v>298.77999999999997</v>
      </c>
      <c r="D10">
        <v>472.52</v>
      </c>
      <c r="E10">
        <v>256.44</v>
      </c>
      <c r="F10">
        <v>1203.22</v>
      </c>
      <c r="G10">
        <v>281.76</v>
      </c>
      <c r="H10">
        <v>220.8</v>
      </c>
      <c r="I10">
        <f>SUM(B10:H10)</f>
        <v>3267.5200000000004</v>
      </c>
    </row>
    <row r="11" spans="1:9" x14ac:dyDescent="0.2">
      <c r="A11" s="201">
        <v>44197</v>
      </c>
      <c r="I11">
        <f t="shared" ref="I11:I14" si="1">SUM(B11:H11)</f>
        <v>0</v>
      </c>
    </row>
    <row r="12" spans="1:9" x14ac:dyDescent="0.2">
      <c r="A12" s="201">
        <v>44228</v>
      </c>
      <c r="I12">
        <f t="shared" si="1"/>
        <v>0</v>
      </c>
    </row>
    <row r="13" spans="1:9" x14ac:dyDescent="0.2">
      <c r="A13" s="201">
        <v>44256</v>
      </c>
      <c r="B13">
        <v>495.86</v>
      </c>
      <c r="C13">
        <v>461.83</v>
      </c>
      <c r="D13">
        <v>579.5</v>
      </c>
      <c r="E13">
        <v>291.74</v>
      </c>
      <c r="F13">
        <v>594.69000000000005</v>
      </c>
      <c r="G13">
        <v>320.62</v>
      </c>
      <c r="H13">
        <v>211.97</v>
      </c>
      <c r="I13">
        <f t="shared" si="1"/>
        <v>2956.2099999999996</v>
      </c>
    </row>
    <row r="14" spans="1:9" x14ac:dyDescent="0.2">
      <c r="A14" s="201">
        <v>44287</v>
      </c>
      <c r="B14">
        <v>187.89</v>
      </c>
      <c r="C14">
        <v>373.91</v>
      </c>
      <c r="D14">
        <v>387.51</v>
      </c>
      <c r="E14">
        <v>198.09</v>
      </c>
      <c r="F14">
        <v>270.92</v>
      </c>
      <c r="G14">
        <v>277.70999999999998</v>
      </c>
      <c r="H14">
        <v>138</v>
      </c>
      <c r="I14">
        <f t="shared" si="1"/>
        <v>1834.03</v>
      </c>
    </row>
    <row r="20" spans="1:4" x14ac:dyDescent="0.2">
      <c r="A20" t="s">
        <v>392</v>
      </c>
    </row>
    <row r="21" spans="1:4" x14ac:dyDescent="0.2">
      <c r="A21" s="190">
        <v>0.75</v>
      </c>
      <c r="B21">
        <v>951.78</v>
      </c>
      <c r="C21">
        <v>902.42</v>
      </c>
      <c r="D21" t="s">
        <v>393</v>
      </c>
    </row>
    <row r="22" spans="1:4" x14ac:dyDescent="0.2">
      <c r="A22" s="190">
        <v>0.2</v>
      </c>
      <c r="B22">
        <v>253.8</v>
      </c>
      <c r="C22">
        <v>260.44</v>
      </c>
      <c r="D22" t="s">
        <v>394</v>
      </c>
    </row>
    <row r="23" spans="1:4" x14ac:dyDescent="0.2">
      <c r="A23" s="190">
        <v>0.05</v>
      </c>
      <c r="B23">
        <v>63.46</v>
      </c>
      <c r="C23">
        <v>40.36</v>
      </c>
      <c r="D23" t="s">
        <v>23</v>
      </c>
    </row>
    <row r="26" spans="1:4" x14ac:dyDescent="0.2">
      <c r="A26" t="s">
        <v>366</v>
      </c>
    </row>
    <row r="27" spans="1:4" x14ac:dyDescent="0.2">
      <c r="A27" t="s">
        <v>395</v>
      </c>
      <c r="B27">
        <v>293.76</v>
      </c>
    </row>
    <row r="28" spans="1:4" x14ac:dyDescent="0.2">
      <c r="A28" t="s">
        <v>394</v>
      </c>
      <c r="B28">
        <v>240.24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Q40"/>
  <sheetViews>
    <sheetView workbookViewId="0">
      <selection activeCell="L43" sqref="L43"/>
    </sheetView>
  </sheetViews>
  <sheetFormatPr defaultRowHeight="12.75" x14ac:dyDescent="0.2"/>
  <cols>
    <col min="1" max="1" width="11" customWidth="1"/>
    <col min="2" max="2" width="5.5703125" customWidth="1"/>
    <col min="3" max="3" width="32.28515625" customWidth="1"/>
    <col min="6" max="6" width="2.5703125" customWidth="1"/>
    <col min="10" max="10" width="1.42578125" customWidth="1"/>
    <col min="12" max="12" width="9.7109375" customWidth="1"/>
    <col min="13" max="13" width="9.42578125" customWidth="1"/>
    <col min="14" max="14" width="1.85546875" customWidth="1"/>
    <col min="17" max="17" width="11.28515625" customWidth="1"/>
    <col min="18" max="19" width="9.42578125" bestFit="1" customWidth="1"/>
    <col min="20" max="20" width="10.140625" customWidth="1"/>
  </cols>
  <sheetData>
    <row r="1" spans="1:17" x14ac:dyDescent="0.2">
      <c r="A1" s="4" t="s">
        <v>161</v>
      </c>
    </row>
    <row r="3" spans="1:17" ht="15" x14ac:dyDescent="0.25">
      <c r="A3" s="42" t="s">
        <v>185</v>
      </c>
      <c r="B3" s="43"/>
      <c r="C3" s="43"/>
      <c r="D3" s="44" t="s">
        <v>164</v>
      </c>
      <c r="E3" s="45" t="s">
        <v>171</v>
      </c>
      <c r="F3" s="43"/>
      <c r="G3" s="309" t="s">
        <v>186</v>
      </c>
      <c r="H3" s="310"/>
      <c r="I3" s="311"/>
      <c r="J3" s="46"/>
      <c r="K3" s="312" t="s">
        <v>184</v>
      </c>
      <c r="L3" s="313"/>
      <c r="M3" s="314"/>
      <c r="N3" s="47"/>
      <c r="O3" s="312" t="s">
        <v>174</v>
      </c>
      <c r="P3" s="313"/>
      <c r="Q3" s="314"/>
    </row>
    <row r="4" spans="1:17" x14ac:dyDescent="0.2">
      <c r="A4" s="48" t="s">
        <v>187</v>
      </c>
      <c r="B4" s="48"/>
      <c r="C4" s="49"/>
      <c r="D4" s="50" t="s">
        <v>188</v>
      </c>
      <c r="E4" s="51" t="s">
        <v>189</v>
      </c>
      <c r="F4" s="48"/>
      <c r="G4" s="52" t="s">
        <v>190</v>
      </c>
      <c r="H4" s="48" t="s">
        <v>191</v>
      </c>
      <c r="I4" s="49" t="s">
        <v>192</v>
      </c>
      <c r="J4" s="53"/>
      <c r="K4" s="48" t="s">
        <v>190</v>
      </c>
      <c r="L4" s="48" t="s">
        <v>191</v>
      </c>
      <c r="M4" s="49" t="s">
        <v>192</v>
      </c>
      <c r="N4" s="48"/>
      <c r="O4" s="54" t="s">
        <v>190</v>
      </c>
      <c r="P4" s="48" t="s">
        <v>191</v>
      </c>
      <c r="Q4" s="49" t="s">
        <v>192</v>
      </c>
    </row>
    <row r="5" spans="1:17" x14ac:dyDescent="0.2">
      <c r="A5" s="55" t="s">
        <v>193</v>
      </c>
      <c r="B5" s="55"/>
      <c r="C5" s="45"/>
      <c r="D5" s="55"/>
      <c r="E5" s="45"/>
      <c r="F5" s="55"/>
      <c r="G5" s="56"/>
      <c r="H5" s="57"/>
      <c r="I5" s="58"/>
      <c r="J5" s="59"/>
      <c r="K5" s="60"/>
      <c r="L5" s="60"/>
      <c r="M5" s="61"/>
      <c r="N5" s="60"/>
      <c r="O5" s="62"/>
      <c r="P5" s="60"/>
      <c r="Q5" s="61"/>
    </row>
    <row r="6" spans="1:17" x14ac:dyDescent="0.2">
      <c r="A6" s="43"/>
      <c r="B6" s="43" t="s">
        <v>194</v>
      </c>
      <c r="C6" s="63"/>
      <c r="D6" s="64"/>
      <c r="E6" s="65"/>
      <c r="F6" s="43"/>
      <c r="G6" s="66"/>
      <c r="H6" s="64"/>
      <c r="I6" s="65"/>
      <c r="J6" s="67"/>
      <c r="K6" s="68"/>
      <c r="L6" s="68"/>
      <c r="M6" s="69"/>
      <c r="N6" s="68"/>
      <c r="O6" s="70"/>
      <c r="P6" s="68"/>
      <c r="Q6" s="69"/>
    </row>
    <row r="7" spans="1:17" x14ac:dyDescent="0.2">
      <c r="A7" s="43"/>
      <c r="B7" s="43"/>
      <c r="C7" s="63" t="s">
        <v>195</v>
      </c>
      <c r="D7" s="64">
        <v>33803</v>
      </c>
      <c r="E7" s="65">
        <v>35408</v>
      </c>
      <c r="F7" s="43"/>
      <c r="G7" s="66">
        <v>38500</v>
      </c>
      <c r="H7" s="64">
        <v>40500</v>
      </c>
      <c r="I7" s="65">
        <v>42500</v>
      </c>
      <c r="J7" s="67"/>
      <c r="K7" s="68">
        <f t="shared" ref="K7:M8" si="0">G7-O7</f>
        <v>38500</v>
      </c>
      <c r="L7" s="68">
        <f t="shared" si="0"/>
        <v>40500</v>
      </c>
      <c r="M7" s="69">
        <f t="shared" si="0"/>
        <v>42500</v>
      </c>
      <c r="N7" s="68"/>
      <c r="O7" s="70"/>
      <c r="P7" s="68"/>
      <c r="Q7" s="69"/>
    </row>
    <row r="8" spans="1:17" x14ac:dyDescent="0.2">
      <c r="A8" s="43"/>
      <c r="B8" s="43"/>
      <c r="C8" s="63" t="s">
        <v>196</v>
      </c>
      <c r="D8" s="64">
        <v>7292</v>
      </c>
      <c r="E8" s="65">
        <v>7292</v>
      </c>
      <c r="F8" s="43"/>
      <c r="G8" s="66">
        <v>7000</v>
      </c>
      <c r="H8" s="64">
        <v>12000</v>
      </c>
      <c r="I8" s="65">
        <v>12200</v>
      </c>
      <c r="J8" s="67"/>
      <c r="K8" s="68">
        <f t="shared" si="0"/>
        <v>7000</v>
      </c>
      <c r="L8" s="68">
        <f t="shared" si="0"/>
        <v>12000</v>
      </c>
      <c r="M8" s="69">
        <f t="shared" si="0"/>
        <v>12200</v>
      </c>
      <c r="N8" s="68"/>
      <c r="O8" s="70"/>
      <c r="P8" s="68"/>
      <c r="Q8" s="69"/>
    </row>
    <row r="9" spans="1:17" x14ac:dyDescent="0.2">
      <c r="A9" s="43"/>
      <c r="B9" s="43" t="s">
        <v>197</v>
      </c>
      <c r="C9" s="63"/>
      <c r="D9" s="64"/>
      <c r="E9" s="65"/>
      <c r="F9" s="43"/>
      <c r="G9" s="66"/>
      <c r="H9" s="64"/>
      <c r="I9" s="65"/>
      <c r="J9" s="67"/>
      <c r="K9" s="68"/>
      <c r="L9" s="68"/>
      <c r="M9" s="69"/>
      <c r="N9" s="68"/>
      <c r="O9" s="70"/>
      <c r="P9" s="68"/>
      <c r="Q9" s="69"/>
    </row>
    <row r="10" spans="1:17" x14ac:dyDescent="0.2">
      <c r="A10" s="43"/>
      <c r="B10" s="43"/>
      <c r="C10" s="63" t="s">
        <v>198</v>
      </c>
      <c r="D10" s="64">
        <v>30000</v>
      </c>
      <c r="E10" s="65">
        <v>30000</v>
      </c>
      <c r="F10" s="43"/>
      <c r="G10" s="66"/>
      <c r="H10" s="64"/>
      <c r="I10" s="65"/>
      <c r="J10" s="67"/>
      <c r="K10" s="68"/>
      <c r="L10" s="68"/>
      <c r="M10" s="69"/>
      <c r="N10" s="68"/>
      <c r="O10" s="70"/>
      <c r="P10" s="68"/>
      <c r="Q10" s="69"/>
    </row>
    <row r="11" spans="1:17" x14ac:dyDescent="0.2">
      <c r="A11" s="43"/>
      <c r="B11" s="43"/>
      <c r="C11" s="63" t="s">
        <v>199</v>
      </c>
      <c r="D11" s="64"/>
      <c r="E11" s="65"/>
      <c r="F11" s="43"/>
      <c r="G11" s="66">
        <v>7500</v>
      </c>
      <c r="H11" s="64">
        <v>7500</v>
      </c>
      <c r="I11" s="64">
        <v>7500</v>
      </c>
      <c r="J11" s="67"/>
      <c r="K11" s="68"/>
      <c r="L11" s="68"/>
      <c r="M11" s="69"/>
      <c r="N11" s="68"/>
      <c r="O11" s="70">
        <v>7500</v>
      </c>
      <c r="P11" s="68">
        <v>7500</v>
      </c>
      <c r="Q11" s="69">
        <v>7500</v>
      </c>
    </row>
    <row r="12" spans="1:17" x14ac:dyDescent="0.2">
      <c r="A12" s="43"/>
      <c r="B12" s="43"/>
      <c r="C12" s="63" t="s">
        <v>200</v>
      </c>
      <c r="D12" s="64"/>
      <c r="E12" s="65"/>
      <c r="F12" s="43"/>
      <c r="G12" s="66">
        <v>15000</v>
      </c>
      <c r="H12" s="64">
        <v>15000</v>
      </c>
      <c r="I12" s="64">
        <v>15000</v>
      </c>
      <c r="J12" s="67"/>
      <c r="K12" s="68">
        <f t="shared" ref="K12:M17" si="1">G12-O12</f>
        <v>10000</v>
      </c>
      <c r="L12" s="68">
        <f>H12-P12</f>
        <v>2000</v>
      </c>
      <c r="M12" s="69"/>
      <c r="N12" s="68"/>
      <c r="O12" s="70">
        <v>5000</v>
      </c>
      <c r="P12" s="68">
        <v>13000</v>
      </c>
      <c r="Q12" s="69">
        <v>15000</v>
      </c>
    </row>
    <row r="13" spans="1:17" x14ac:dyDescent="0.2">
      <c r="A13" s="43"/>
      <c r="B13" s="43"/>
      <c r="C13" s="63" t="s">
        <v>201</v>
      </c>
      <c r="D13" s="64">
        <v>4570</v>
      </c>
      <c r="E13" s="65">
        <v>5777</v>
      </c>
      <c r="F13" s="43"/>
      <c r="G13" s="66">
        <v>6000</v>
      </c>
      <c r="H13" s="64">
        <v>6500</v>
      </c>
      <c r="I13" s="64">
        <v>7000</v>
      </c>
      <c r="J13" s="67"/>
      <c r="K13" s="68">
        <f t="shared" si="1"/>
        <v>6000</v>
      </c>
      <c r="L13" s="68">
        <f>H13-P13</f>
        <v>6500</v>
      </c>
      <c r="M13" s="69">
        <f>I13-Q13</f>
        <v>7000</v>
      </c>
      <c r="N13" s="68"/>
      <c r="O13" s="70"/>
      <c r="P13" s="68"/>
      <c r="Q13" s="69"/>
    </row>
    <row r="14" spans="1:17" x14ac:dyDescent="0.2">
      <c r="A14" s="43"/>
      <c r="B14" s="63" t="s">
        <v>166</v>
      </c>
      <c r="C14" s="43"/>
      <c r="D14" s="66"/>
      <c r="E14" s="65">
        <v>0</v>
      </c>
      <c r="F14" s="43"/>
      <c r="G14" s="66">
        <v>2000</v>
      </c>
      <c r="H14" s="64">
        <v>3000</v>
      </c>
      <c r="I14" s="65">
        <v>4000</v>
      </c>
      <c r="J14" s="67"/>
      <c r="K14" s="68">
        <f t="shared" si="1"/>
        <v>2000</v>
      </c>
      <c r="L14" s="68">
        <f t="shared" si="1"/>
        <v>3000</v>
      </c>
      <c r="M14" s="69">
        <f t="shared" si="1"/>
        <v>4000</v>
      </c>
      <c r="N14" s="68"/>
      <c r="O14" s="70"/>
      <c r="P14" s="68"/>
      <c r="Q14" s="69"/>
    </row>
    <row r="15" spans="1:17" x14ac:dyDescent="0.2">
      <c r="A15" s="43"/>
      <c r="B15" s="63" t="s">
        <v>26</v>
      </c>
      <c r="C15" s="43"/>
      <c r="D15" s="66">
        <v>11618</v>
      </c>
      <c r="E15" s="65">
        <v>3438</v>
      </c>
      <c r="F15" s="43"/>
      <c r="G15" s="66">
        <v>11000</v>
      </c>
      <c r="H15" s="64">
        <v>5000</v>
      </c>
      <c r="I15" s="65">
        <v>5000</v>
      </c>
      <c r="J15" s="67"/>
      <c r="K15" s="68">
        <f t="shared" si="1"/>
        <v>6000</v>
      </c>
      <c r="L15" s="68">
        <f t="shared" si="1"/>
        <v>0</v>
      </c>
      <c r="M15" s="69">
        <f t="shared" si="1"/>
        <v>0</v>
      </c>
      <c r="N15" s="68"/>
      <c r="O15" s="70">
        <v>5000</v>
      </c>
      <c r="P15" s="68">
        <v>5000</v>
      </c>
      <c r="Q15" s="69">
        <v>5000</v>
      </c>
    </row>
    <row r="16" spans="1:17" x14ac:dyDescent="0.2">
      <c r="A16" s="43"/>
      <c r="B16" s="43" t="s">
        <v>162</v>
      </c>
      <c r="C16" s="63"/>
      <c r="D16" s="64">
        <v>7642</v>
      </c>
      <c r="E16" s="65">
        <v>5286</v>
      </c>
      <c r="F16" s="43"/>
      <c r="G16" s="66">
        <v>3860</v>
      </c>
      <c r="H16" s="64">
        <v>3940</v>
      </c>
      <c r="I16" s="65">
        <v>4010</v>
      </c>
      <c r="J16" s="67"/>
      <c r="K16" s="68">
        <f t="shared" si="1"/>
        <v>600</v>
      </c>
      <c r="L16" s="68">
        <f t="shared" si="1"/>
        <v>680</v>
      </c>
      <c r="M16" s="69">
        <f t="shared" si="1"/>
        <v>750</v>
      </c>
      <c r="N16" s="68"/>
      <c r="O16" s="70">
        <v>3260</v>
      </c>
      <c r="P16" s="68">
        <v>3260</v>
      </c>
      <c r="Q16" s="69">
        <v>3260</v>
      </c>
    </row>
    <row r="17" spans="1:17" x14ac:dyDescent="0.2">
      <c r="A17" s="43"/>
      <c r="B17" s="43" t="s">
        <v>202</v>
      </c>
      <c r="C17" s="63"/>
      <c r="D17" s="64">
        <v>156</v>
      </c>
      <c r="E17" s="65"/>
      <c r="F17" s="43"/>
      <c r="G17" s="66">
        <v>90</v>
      </c>
      <c r="H17" s="64">
        <v>60</v>
      </c>
      <c r="I17" s="65">
        <v>60</v>
      </c>
      <c r="J17" s="67"/>
      <c r="K17" s="68">
        <f t="shared" si="1"/>
        <v>90</v>
      </c>
      <c r="L17" s="68">
        <f t="shared" si="1"/>
        <v>60</v>
      </c>
      <c r="M17" s="69">
        <f t="shared" si="1"/>
        <v>60</v>
      </c>
      <c r="N17" s="68"/>
      <c r="O17" s="70"/>
      <c r="P17" s="68"/>
      <c r="Q17" s="69"/>
    </row>
    <row r="18" spans="1:17" ht="13.5" thickBot="1" x14ac:dyDescent="0.25">
      <c r="A18" s="43"/>
      <c r="B18" s="43"/>
      <c r="C18" s="71" t="s">
        <v>54</v>
      </c>
      <c r="D18" s="72">
        <f>SUM(D6:D17)</f>
        <v>95081</v>
      </c>
      <c r="E18" s="73">
        <f>SUM(E6:E16)</f>
        <v>87201</v>
      </c>
      <c r="F18" s="43"/>
      <c r="G18" s="74">
        <f>SUM(G6:G17)</f>
        <v>90950</v>
      </c>
      <c r="H18" s="72">
        <f>SUM(H6:H17)</f>
        <v>93500</v>
      </c>
      <c r="I18" s="73">
        <f>SUM(I6:I17)</f>
        <v>97270</v>
      </c>
      <c r="J18" s="67"/>
      <c r="K18" s="75">
        <f>SUM(K6:K17)</f>
        <v>70190</v>
      </c>
      <c r="L18" s="76">
        <f>SUM(L6:L17)</f>
        <v>64740</v>
      </c>
      <c r="M18" s="77">
        <f>SUM(M6:M17)</f>
        <v>66510</v>
      </c>
      <c r="N18" s="68"/>
      <c r="O18" s="75">
        <f>SUM(O6:O17)</f>
        <v>20760</v>
      </c>
      <c r="P18" s="76">
        <f>SUM(P6:P17)</f>
        <v>28760</v>
      </c>
      <c r="Q18" s="77">
        <f>SUM(Q6:Q17)</f>
        <v>30760</v>
      </c>
    </row>
    <row r="19" spans="1:17" ht="13.5" thickTop="1" x14ac:dyDescent="0.2">
      <c r="A19" s="43"/>
      <c r="B19" s="43"/>
      <c r="C19" s="63"/>
      <c r="D19" s="64"/>
      <c r="E19" s="65"/>
      <c r="F19" s="43"/>
      <c r="G19" s="66"/>
      <c r="H19" s="64"/>
      <c r="I19" s="65"/>
      <c r="J19" s="67"/>
      <c r="K19" s="68"/>
      <c r="L19" s="68"/>
      <c r="M19" s="69"/>
      <c r="N19" s="68"/>
      <c r="O19" s="70"/>
      <c r="P19" s="68"/>
      <c r="Q19" s="69"/>
    </row>
    <row r="20" spans="1:17" x14ac:dyDescent="0.2">
      <c r="A20" s="43"/>
      <c r="B20" s="43"/>
      <c r="C20" s="63"/>
      <c r="D20" s="64"/>
      <c r="E20" s="65"/>
      <c r="F20" s="43"/>
      <c r="G20" s="66"/>
      <c r="H20" s="64"/>
      <c r="I20" s="65"/>
      <c r="J20" s="67"/>
      <c r="K20" s="68"/>
      <c r="L20" s="68"/>
      <c r="M20" s="69"/>
      <c r="N20" s="68"/>
      <c r="O20" s="70"/>
      <c r="P20" s="68"/>
      <c r="Q20" s="69"/>
    </row>
    <row r="21" spans="1:17" x14ac:dyDescent="0.2">
      <c r="A21" s="55" t="s">
        <v>203</v>
      </c>
      <c r="B21" s="43"/>
      <c r="C21" s="63"/>
      <c r="D21" s="64"/>
      <c r="E21" s="65"/>
      <c r="F21" s="43"/>
      <c r="G21" s="66"/>
      <c r="H21" s="64"/>
      <c r="I21" s="65"/>
      <c r="J21" s="67"/>
      <c r="K21" s="68"/>
      <c r="L21" s="68"/>
      <c r="M21" s="69"/>
      <c r="N21" s="68"/>
      <c r="O21" s="70"/>
      <c r="P21" s="68"/>
      <c r="Q21" s="69"/>
    </row>
    <row r="22" spans="1:17" x14ac:dyDescent="0.2">
      <c r="A22" s="55"/>
      <c r="B22" s="43" t="s">
        <v>204</v>
      </c>
      <c r="C22" s="63"/>
      <c r="D22" s="64">
        <v>62257</v>
      </c>
      <c r="E22" s="65">
        <v>56933</v>
      </c>
      <c r="F22" s="43"/>
      <c r="G22" s="66">
        <v>44877</v>
      </c>
      <c r="H22" s="64">
        <v>49522</v>
      </c>
      <c r="I22" s="65">
        <v>50740</v>
      </c>
      <c r="J22" s="67"/>
      <c r="K22" s="68">
        <f t="shared" ref="K22:M31" si="2">G22-O22</f>
        <v>31714</v>
      </c>
      <c r="L22" s="68">
        <f t="shared" si="2"/>
        <v>34005</v>
      </c>
      <c r="M22" s="69">
        <f t="shared" si="2"/>
        <v>34810</v>
      </c>
      <c r="N22" s="68"/>
      <c r="O22" s="70">
        <v>13163</v>
      </c>
      <c r="P22" s="68">
        <v>15517</v>
      </c>
      <c r="Q22" s="69">
        <v>15930</v>
      </c>
    </row>
    <row r="23" spans="1:17" x14ac:dyDescent="0.2">
      <c r="A23" s="55"/>
      <c r="B23" s="43" t="s">
        <v>205</v>
      </c>
      <c r="C23" s="63"/>
      <c r="D23" s="64">
        <v>14448</v>
      </c>
      <c r="E23" s="65">
        <v>13810</v>
      </c>
      <c r="F23" s="43"/>
      <c r="G23" s="66">
        <v>14808</v>
      </c>
      <c r="H23" s="64">
        <v>15000</v>
      </c>
      <c r="I23" s="65">
        <v>15500</v>
      </c>
      <c r="J23" s="67"/>
      <c r="K23" s="68">
        <f t="shared" si="2"/>
        <v>14808</v>
      </c>
      <c r="L23" s="68">
        <f t="shared" si="2"/>
        <v>15000</v>
      </c>
      <c r="M23" s="69">
        <f t="shared" si="2"/>
        <v>15500</v>
      </c>
      <c r="N23" s="68"/>
      <c r="O23" s="70"/>
      <c r="P23" s="68"/>
      <c r="Q23" s="69"/>
    </row>
    <row r="24" spans="1:17" x14ac:dyDescent="0.2">
      <c r="A24" s="55"/>
      <c r="B24" s="43" t="s">
        <v>206</v>
      </c>
      <c r="C24" s="63"/>
      <c r="D24" s="64">
        <v>9454</v>
      </c>
      <c r="E24" s="65">
        <v>7498</v>
      </c>
      <c r="F24" s="43"/>
      <c r="G24" s="66">
        <v>8267</v>
      </c>
      <c r="H24" s="64">
        <v>8500</v>
      </c>
      <c r="I24" s="65">
        <v>8500</v>
      </c>
      <c r="J24" s="67"/>
      <c r="K24" s="68">
        <f t="shared" si="2"/>
        <v>8267</v>
      </c>
      <c r="L24" s="68">
        <f t="shared" si="2"/>
        <v>8500</v>
      </c>
      <c r="M24" s="69">
        <f t="shared" si="2"/>
        <v>8500</v>
      </c>
      <c r="N24" s="68"/>
      <c r="O24" s="70"/>
      <c r="P24" s="68"/>
      <c r="Q24" s="69"/>
    </row>
    <row r="25" spans="1:17" x14ac:dyDescent="0.2">
      <c r="A25" s="55"/>
      <c r="B25" s="43" t="s">
        <v>207</v>
      </c>
      <c r="C25" s="63"/>
      <c r="D25" s="64">
        <v>7892</v>
      </c>
      <c r="E25" s="65">
        <v>3064</v>
      </c>
      <c r="F25" s="43"/>
      <c r="G25" s="66">
        <v>3194</v>
      </c>
      <c r="H25" s="64">
        <v>3200</v>
      </c>
      <c r="I25" s="65">
        <v>3200</v>
      </c>
      <c r="J25" s="67"/>
      <c r="K25" s="68">
        <f t="shared" si="2"/>
        <v>3114</v>
      </c>
      <c r="L25" s="68">
        <f t="shared" si="2"/>
        <v>3120</v>
      </c>
      <c r="M25" s="69">
        <f t="shared" si="2"/>
        <v>3120</v>
      </c>
      <c r="N25" s="68"/>
      <c r="O25" s="70">
        <v>80</v>
      </c>
      <c r="P25" s="68">
        <v>80</v>
      </c>
      <c r="Q25" s="69">
        <v>80</v>
      </c>
    </row>
    <row r="26" spans="1:17" x14ac:dyDescent="0.2">
      <c r="A26" s="55"/>
      <c r="B26" s="43" t="s">
        <v>208</v>
      </c>
      <c r="C26" s="63"/>
      <c r="D26" s="64">
        <v>4460</v>
      </c>
      <c r="E26" s="65">
        <v>4578</v>
      </c>
      <c r="F26" s="43"/>
      <c r="G26" s="66">
        <v>3101</v>
      </c>
      <c r="H26" s="64">
        <v>3100</v>
      </c>
      <c r="I26" s="65">
        <v>3100</v>
      </c>
      <c r="J26" s="67"/>
      <c r="K26" s="68">
        <f t="shared" si="2"/>
        <v>2981</v>
      </c>
      <c r="L26" s="68">
        <f t="shared" si="2"/>
        <v>2980</v>
      </c>
      <c r="M26" s="69">
        <f t="shared" si="2"/>
        <v>2980</v>
      </c>
      <c r="N26" s="68"/>
      <c r="O26" s="70">
        <v>120</v>
      </c>
      <c r="P26" s="68">
        <v>120</v>
      </c>
      <c r="Q26" s="69">
        <v>120</v>
      </c>
    </row>
    <row r="27" spans="1:17" x14ac:dyDescent="0.2">
      <c r="A27" s="55"/>
      <c r="B27" s="43" t="s">
        <v>209</v>
      </c>
      <c r="C27" s="63"/>
      <c r="D27" s="64">
        <v>586</v>
      </c>
      <c r="E27" s="65">
        <v>377</v>
      </c>
      <c r="F27" s="43"/>
      <c r="G27" s="66">
        <v>1150</v>
      </c>
      <c r="H27" s="64">
        <v>1200</v>
      </c>
      <c r="I27" s="65">
        <v>1250</v>
      </c>
      <c r="J27" s="67"/>
      <c r="K27" s="68">
        <f t="shared" si="2"/>
        <v>1150</v>
      </c>
      <c r="L27" s="68">
        <f t="shared" si="2"/>
        <v>1200</v>
      </c>
      <c r="M27" s="69">
        <f t="shared" si="2"/>
        <v>1250</v>
      </c>
      <c r="N27" s="68"/>
      <c r="O27" s="70"/>
      <c r="P27" s="68"/>
      <c r="Q27" s="69"/>
    </row>
    <row r="28" spans="1:17" x14ac:dyDescent="0.2">
      <c r="A28" s="55"/>
      <c r="B28" s="43" t="s">
        <v>210</v>
      </c>
      <c r="C28" s="63"/>
      <c r="D28" s="64">
        <v>1741</v>
      </c>
      <c r="E28" s="65">
        <v>1035</v>
      </c>
      <c r="F28" s="43"/>
      <c r="G28" s="66">
        <v>1241</v>
      </c>
      <c r="H28" s="64">
        <v>1500</v>
      </c>
      <c r="I28" s="65">
        <v>2000</v>
      </c>
      <c r="J28" s="67"/>
      <c r="K28" s="68"/>
      <c r="L28" s="68"/>
      <c r="M28" s="69"/>
      <c r="N28" s="68"/>
      <c r="O28" s="70">
        <v>1241</v>
      </c>
      <c r="P28" s="68">
        <f>H28</f>
        <v>1500</v>
      </c>
      <c r="Q28" s="69">
        <f>I28</f>
        <v>2000</v>
      </c>
    </row>
    <row r="29" spans="1:17" x14ac:dyDescent="0.2">
      <c r="A29" s="55"/>
      <c r="B29" s="43" t="s">
        <v>211</v>
      </c>
      <c r="C29" s="63"/>
      <c r="D29" s="64">
        <v>3100</v>
      </c>
      <c r="E29" s="65">
        <v>0</v>
      </c>
      <c r="F29" s="43"/>
      <c r="G29" s="66">
        <v>11800</v>
      </c>
      <c r="H29" s="64">
        <v>10000</v>
      </c>
      <c r="I29" s="65">
        <v>11000</v>
      </c>
      <c r="J29" s="67"/>
      <c r="K29" s="68">
        <f t="shared" si="2"/>
        <v>7800</v>
      </c>
      <c r="L29" s="68"/>
      <c r="M29" s="69"/>
      <c r="N29" s="68"/>
      <c r="O29" s="70">
        <v>4000</v>
      </c>
      <c r="P29" s="68">
        <f>H29</f>
        <v>10000</v>
      </c>
      <c r="Q29" s="69">
        <f>I29</f>
        <v>11000</v>
      </c>
    </row>
    <row r="30" spans="1:17" x14ac:dyDescent="0.2">
      <c r="A30" s="55"/>
      <c r="B30" s="43" t="s">
        <v>6</v>
      </c>
      <c r="C30" s="63"/>
      <c r="D30" s="64">
        <v>710</v>
      </c>
      <c r="E30" s="65">
        <v>613</v>
      </c>
      <c r="F30" s="43"/>
      <c r="G30" s="66">
        <v>613</v>
      </c>
      <c r="H30" s="64">
        <v>650</v>
      </c>
      <c r="I30" s="65">
        <v>650</v>
      </c>
      <c r="J30" s="67"/>
      <c r="K30" s="68">
        <f t="shared" si="2"/>
        <v>473.07828477185268</v>
      </c>
      <c r="L30" s="68">
        <f t="shared" si="2"/>
        <v>450.06417112299465</v>
      </c>
      <c r="M30" s="69">
        <f t="shared" si="2"/>
        <v>444.4484424796957</v>
      </c>
      <c r="N30" s="68"/>
      <c r="O30" s="70">
        <f>O18*G30/G18</f>
        <v>139.92171522814732</v>
      </c>
      <c r="P30" s="68">
        <f>P18*H30/H18</f>
        <v>199.93582887700535</v>
      </c>
      <c r="Q30" s="69">
        <f>Q18*I30/I18</f>
        <v>205.5515575203043</v>
      </c>
    </row>
    <row r="31" spans="1:17" x14ac:dyDescent="0.2">
      <c r="A31" s="55"/>
      <c r="B31" s="43" t="s">
        <v>212</v>
      </c>
      <c r="C31" s="63"/>
      <c r="D31" s="64"/>
      <c r="E31" s="65">
        <v>-160</v>
      </c>
      <c r="F31" s="43"/>
      <c r="G31" s="66"/>
      <c r="H31" s="64"/>
      <c r="I31" s="65"/>
      <c r="J31" s="67"/>
      <c r="K31" s="68">
        <f t="shared" si="2"/>
        <v>-1500</v>
      </c>
      <c r="L31" s="68">
        <f t="shared" si="2"/>
        <v>-1500</v>
      </c>
      <c r="M31" s="69">
        <f t="shared" si="2"/>
        <v>-1500</v>
      </c>
      <c r="N31" s="68"/>
      <c r="O31" s="70">
        <v>1500</v>
      </c>
      <c r="P31" s="68">
        <v>1500</v>
      </c>
      <c r="Q31" s="69">
        <v>1500</v>
      </c>
    </row>
    <row r="32" spans="1:17" x14ac:dyDescent="0.2">
      <c r="A32" s="55"/>
      <c r="B32" s="43" t="s">
        <v>213</v>
      </c>
      <c r="C32" s="63"/>
      <c r="D32" s="64"/>
      <c r="E32" s="65">
        <v>3000</v>
      </c>
      <c r="F32" s="43"/>
      <c r="G32" s="66"/>
      <c r="H32" s="64"/>
      <c r="I32" s="65"/>
      <c r="J32" s="67"/>
      <c r="K32" s="68"/>
      <c r="L32" s="68"/>
      <c r="M32" s="78"/>
      <c r="N32" s="68"/>
      <c r="O32" s="70"/>
      <c r="P32" s="68"/>
      <c r="Q32" s="69"/>
    </row>
    <row r="33" spans="1:17" x14ac:dyDescent="0.2">
      <c r="A33" s="55"/>
      <c r="B33" s="43"/>
      <c r="C33" s="71" t="s">
        <v>214</v>
      </c>
      <c r="D33" s="79">
        <f>SUM(D22:D32)</f>
        <v>104648</v>
      </c>
      <c r="E33" s="80">
        <f>SUM(E22:E32)</f>
        <v>90748</v>
      </c>
      <c r="F33" s="43"/>
      <c r="G33" s="81">
        <f>SUM(G22:G32)</f>
        <v>89051</v>
      </c>
      <c r="H33" s="79">
        <f>SUM(H22:H32)</f>
        <v>92672</v>
      </c>
      <c r="I33" s="80">
        <f>SUM(I22:I32)</f>
        <v>95940</v>
      </c>
      <c r="J33" s="67"/>
      <c r="K33" s="82">
        <f>SUM(K22:K32)</f>
        <v>68807.078284771851</v>
      </c>
      <c r="L33" s="82">
        <f>SUM(L22:L32)</f>
        <v>63755.064171122998</v>
      </c>
      <c r="M33" s="83">
        <f>SUM(M22:M32)</f>
        <v>65104.448442479697</v>
      </c>
      <c r="N33" s="68"/>
      <c r="O33" s="84">
        <f>SUM(O22:O32)</f>
        <v>20243.921715228149</v>
      </c>
      <c r="P33" s="82">
        <f>SUM(P22:P32)</f>
        <v>28916.935828877005</v>
      </c>
      <c r="Q33" s="83">
        <f>SUM(Q22:Q32)</f>
        <v>30835.551557520303</v>
      </c>
    </row>
    <row r="34" spans="1:17" x14ac:dyDescent="0.2">
      <c r="A34" s="55"/>
      <c r="B34" s="43"/>
      <c r="C34" s="63"/>
      <c r="D34" s="64"/>
      <c r="E34" s="65"/>
      <c r="F34" s="43"/>
      <c r="G34" s="66"/>
      <c r="H34" s="64"/>
      <c r="I34" s="65"/>
      <c r="J34" s="67"/>
      <c r="K34" s="68"/>
      <c r="L34" s="68"/>
      <c r="M34" s="78"/>
      <c r="N34" s="68"/>
      <c r="O34" s="70"/>
      <c r="P34" s="68"/>
      <c r="Q34" s="78"/>
    </row>
    <row r="35" spans="1:17" ht="13.5" thickBot="1" x14ac:dyDescent="0.25">
      <c r="A35" s="55"/>
      <c r="B35" s="43"/>
      <c r="C35" s="85" t="s">
        <v>54</v>
      </c>
      <c r="D35" s="72">
        <f>SUM(D33:D34)</f>
        <v>104648</v>
      </c>
      <c r="E35" s="73">
        <f>SUM(E33:E34)</f>
        <v>90748</v>
      </c>
      <c r="F35" s="43"/>
      <c r="G35" s="74">
        <f>SUM(G33:G34)</f>
        <v>89051</v>
      </c>
      <c r="H35" s="72">
        <f>SUM(H33:H34)</f>
        <v>92672</v>
      </c>
      <c r="I35" s="73">
        <f>SUM(I33:I34)</f>
        <v>95940</v>
      </c>
      <c r="J35" s="67"/>
      <c r="K35" s="76">
        <f>SUM(K33:K34)</f>
        <v>68807.078284771851</v>
      </c>
      <c r="L35" s="76">
        <f>SUM(L33:L34)</f>
        <v>63755.064171122998</v>
      </c>
      <c r="M35" s="77">
        <f>SUM(M33:M34)</f>
        <v>65104.448442479697</v>
      </c>
      <c r="N35" s="68"/>
      <c r="O35" s="75">
        <f>SUM(O33:O34)</f>
        <v>20243.921715228149</v>
      </c>
      <c r="P35" s="76">
        <f>SUM(P33:P34)</f>
        <v>28916.935828877005</v>
      </c>
      <c r="Q35" s="77">
        <f>SUM(Q33:Q34)</f>
        <v>30835.551557520303</v>
      </c>
    </row>
    <row r="36" spans="1:17" ht="13.5" thickTop="1" x14ac:dyDescent="0.2">
      <c r="A36" s="55"/>
      <c r="B36" s="43"/>
      <c r="C36" s="63"/>
      <c r="D36" s="64"/>
      <c r="E36" s="65"/>
      <c r="F36" s="43"/>
      <c r="G36" s="66"/>
      <c r="H36" s="64"/>
      <c r="I36" s="65"/>
      <c r="J36" s="67"/>
      <c r="K36" s="68"/>
      <c r="L36" s="68"/>
      <c r="M36" s="69"/>
      <c r="N36" s="68"/>
      <c r="O36" s="70"/>
      <c r="P36" s="68"/>
      <c r="Q36" s="69"/>
    </row>
    <row r="37" spans="1:17" ht="13.5" thickBot="1" x14ac:dyDescent="0.25">
      <c r="A37" s="55"/>
      <c r="B37" s="43"/>
      <c r="C37" s="85" t="s">
        <v>215</v>
      </c>
      <c r="D37" s="74">
        <f>D18-D35</f>
        <v>-9567</v>
      </c>
      <c r="E37" s="73">
        <f>E18-E35</f>
        <v>-3547</v>
      </c>
      <c r="F37" s="43"/>
      <c r="G37" s="74">
        <f>G18-G35</f>
        <v>1899</v>
      </c>
      <c r="H37" s="72">
        <f>H18-H35</f>
        <v>828</v>
      </c>
      <c r="I37" s="73">
        <f>I18-I35</f>
        <v>1330</v>
      </c>
      <c r="J37" s="67"/>
      <c r="K37" s="76">
        <f>K18-K35</f>
        <v>1382.921715228149</v>
      </c>
      <c r="L37" s="76">
        <f>L18-L35</f>
        <v>984.93582887700177</v>
      </c>
      <c r="M37" s="77">
        <f>M18-M35</f>
        <v>1405.5515575203026</v>
      </c>
      <c r="N37" s="68"/>
      <c r="O37" s="75">
        <f>O18-O35</f>
        <v>516.07828477185103</v>
      </c>
      <c r="P37" s="76">
        <f>P18-P35</f>
        <v>-156.93582887700541</v>
      </c>
      <c r="Q37" s="77">
        <f>Q18-Q35</f>
        <v>-75.551557520302595</v>
      </c>
    </row>
    <row r="38" spans="1:17" ht="13.5" thickTop="1" x14ac:dyDescent="0.2">
      <c r="A38" s="55"/>
      <c r="B38" s="43"/>
      <c r="C38" s="43"/>
      <c r="D38" s="64"/>
      <c r="E38" s="64"/>
      <c r="F38" s="43"/>
      <c r="G38" s="64"/>
      <c r="H38" s="64"/>
      <c r="I38" s="65"/>
      <c r="J38" s="46"/>
      <c r="K38" s="86"/>
      <c r="L38" s="86"/>
      <c r="M38" s="87"/>
      <c r="N38" s="86"/>
      <c r="O38" s="88"/>
      <c r="P38" s="86"/>
      <c r="Q38" s="87"/>
    </row>
    <row r="39" spans="1:17" ht="13.5" thickBot="1" x14ac:dyDescent="0.25">
      <c r="A39" s="55"/>
      <c r="B39" s="43"/>
      <c r="C39" s="89" t="s">
        <v>216</v>
      </c>
      <c r="D39" s="64"/>
      <c r="E39" s="64"/>
      <c r="F39" s="43"/>
      <c r="G39" s="74">
        <f>G37</f>
        <v>1899</v>
      </c>
      <c r="H39" s="72">
        <f>G39+H37</f>
        <v>2727</v>
      </c>
      <c r="I39" s="72">
        <f>H39+I37</f>
        <v>4057</v>
      </c>
      <c r="J39" s="67"/>
      <c r="K39" s="75">
        <f>K37</f>
        <v>1382.921715228149</v>
      </c>
      <c r="L39" s="72">
        <f>K39+L37</f>
        <v>2367.8575441051507</v>
      </c>
      <c r="M39" s="73">
        <f>L39+M37</f>
        <v>3773.4091016254533</v>
      </c>
      <c r="N39" s="64"/>
      <c r="O39" s="75">
        <f>O37</f>
        <v>516.07828477185103</v>
      </c>
      <c r="P39" s="72">
        <f>O39+P37</f>
        <v>359.14245589484563</v>
      </c>
      <c r="Q39" s="73">
        <f>P39+Q37</f>
        <v>283.59089837454303</v>
      </c>
    </row>
    <row r="40" spans="1:17" ht="13.5" thickTop="1" x14ac:dyDescent="0.2"/>
  </sheetData>
  <sheetProtection selectLockedCells="1" selectUnlockedCells="1"/>
  <mergeCells count="3">
    <mergeCell ref="G3:I3"/>
    <mergeCell ref="K3:M3"/>
    <mergeCell ref="O3:Q3"/>
  </mergeCells>
  <pageMargins left="0.7" right="0.7" top="0.75" bottom="0.75" header="0.51180555555555551" footer="0.51180555555555551"/>
  <pageSetup paperSize="9" scale="84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D37"/>
  <sheetViews>
    <sheetView topLeftCell="T1" workbookViewId="0">
      <selection activeCell="H29" sqref="H29"/>
    </sheetView>
  </sheetViews>
  <sheetFormatPr defaultColWidth="9.140625" defaultRowHeight="12.75" x14ac:dyDescent="0.2"/>
  <cols>
    <col min="1" max="1" width="11" hidden="1" customWidth="1"/>
    <col min="2" max="2" width="5.5703125" hidden="1" customWidth="1"/>
    <col min="3" max="3" width="32.28515625" hidden="1" customWidth="1"/>
    <col min="4" max="5" width="0" hidden="1" customWidth="1"/>
    <col min="6" max="6" width="2.5703125" hidden="1" customWidth="1"/>
    <col min="7" max="7" width="0" hidden="1" customWidth="1"/>
    <col min="8" max="8" width="16.5703125" hidden="1" customWidth="1"/>
    <col min="9" max="9" width="0" hidden="1" customWidth="1"/>
    <col min="10" max="10" width="1.42578125" hidden="1" customWidth="1"/>
    <col min="11" max="11" width="0" hidden="1" customWidth="1"/>
    <col min="12" max="12" width="21.28515625" hidden="1" customWidth="1"/>
    <col min="13" max="13" width="7.85546875" hidden="1" customWidth="1"/>
    <col min="14" max="14" width="1.85546875" hidden="1" customWidth="1"/>
    <col min="15" max="15" width="0" hidden="1" customWidth="1"/>
    <col min="16" max="16" width="24.42578125" hidden="1" customWidth="1"/>
    <col min="17" max="17" width="11.28515625" hidden="1" customWidth="1"/>
    <col min="18" max="19" width="9.42578125" hidden="1" customWidth="1"/>
    <col min="20" max="20" width="10.140625" customWidth="1"/>
    <col min="21" max="21" width="4.7109375" customWidth="1"/>
    <col min="22" max="22" width="34.42578125" customWidth="1"/>
    <col min="23" max="23" width="16.28515625" customWidth="1"/>
    <col min="24" max="24" width="2.42578125" customWidth="1"/>
    <col min="25" max="25" width="16.28515625" customWidth="1"/>
    <col min="26" max="26" width="2.42578125" customWidth="1"/>
    <col min="27" max="27" width="16.28515625" customWidth="1"/>
    <col min="28" max="28" width="2.42578125" customWidth="1"/>
    <col min="29" max="29" width="16.28515625" customWidth="1"/>
  </cols>
  <sheetData>
    <row r="1" spans="1:29" x14ac:dyDescent="0.2">
      <c r="A1" s="4" t="s">
        <v>161</v>
      </c>
      <c r="T1" s="4" t="s">
        <v>161</v>
      </c>
    </row>
    <row r="3" spans="1:29" ht="15" x14ac:dyDescent="0.25">
      <c r="A3" s="42" t="s">
        <v>185</v>
      </c>
      <c r="B3" s="43"/>
      <c r="C3" s="43"/>
      <c r="D3" s="44" t="s">
        <v>164</v>
      </c>
      <c r="E3" s="45" t="s">
        <v>171</v>
      </c>
      <c r="F3" s="43"/>
      <c r="G3" s="309" t="s">
        <v>186</v>
      </c>
      <c r="H3" s="310"/>
      <c r="I3" s="311"/>
      <c r="J3" s="46"/>
      <c r="K3" s="312" t="s">
        <v>184</v>
      </c>
      <c r="L3" s="313"/>
      <c r="M3" s="314"/>
      <c r="N3" s="47"/>
      <c r="O3" s="312" t="s">
        <v>174</v>
      </c>
      <c r="P3" s="313"/>
      <c r="Q3" s="314"/>
      <c r="U3" s="43"/>
      <c r="V3" s="43"/>
      <c r="W3" s="115" t="s">
        <v>54</v>
      </c>
      <c r="X3" s="113"/>
      <c r="Y3" s="114" t="s">
        <v>304</v>
      </c>
      <c r="Z3" s="114"/>
      <c r="AA3" s="114" t="s">
        <v>305</v>
      </c>
      <c r="AC3" s="114" t="s">
        <v>306</v>
      </c>
    </row>
    <row r="4" spans="1:29" x14ac:dyDescent="0.2">
      <c r="A4" s="48" t="s">
        <v>187</v>
      </c>
      <c r="B4" s="48"/>
      <c r="C4" s="49"/>
      <c r="D4" s="50" t="s">
        <v>188</v>
      </c>
      <c r="E4" s="51" t="s">
        <v>189</v>
      </c>
      <c r="F4" s="48"/>
      <c r="G4" s="52" t="s">
        <v>190</v>
      </c>
      <c r="H4" s="48" t="s">
        <v>191</v>
      </c>
      <c r="I4" s="49" t="s">
        <v>192</v>
      </c>
      <c r="J4" s="53"/>
      <c r="K4" s="48" t="s">
        <v>190</v>
      </c>
      <c r="L4" s="48" t="s">
        <v>191</v>
      </c>
      <c r="M4" s="49" t="s">
        <v>192</v>
      </c>
      <c r="N4" s="48"/>
      <c r="O4" s="54" t="s">
        <v>190</v>
      </c>
      <c r="P4" s="48" t="s">
        <v>191</v>
      </c>
      <c r="Q4" s="49" t="s">
        <v>192</v>
      </c>
      <c r="T4" s="48"/>
      <c r="U4" s="48"/>
      <c r="V4" s="104"/>
      <c r="W4" s="102" t="s">
        <v>191</v>
      </c>
      <c r="X4" s="55"/>
      <c r="Y4" s="102" t="s">
        <v>191</v>
      </c>
      <c r="Z4" s="112"/>
      <c r="AA4" s="102" t="s">
        <v>191</v>
      </c>
      <c r="AC4" s="102" t="s">
        <v>191</v>
      </c>
    </row>
    <row r="5" spans="1:29" x14ac:dyDescent="0.2">
      <c r="A5" s="55" t="s">
        <v>193</v>
      </c>
      <c r="B5" s="55"/>
      <c r="C5" s="45"/>
      <c r="D5" s="55"/>
      <c r="E5" s="45"/>
      <c r="F5" s="55"/>
      <c r="G5" s="56"/>
      <c r="H5" s="57"/>
      <c r="I5" s="58"/>
      <c r="J5" s="59"/>
      <c r="K5" s="60"/>
      <c r="L5" s="60"/>
      <c r="M5" s="61"/>
      <c r="N5" s="60"/>
      <c r="O5" s="62"/>
      <c r="P5" s="60"/>
      <c r="Q5" s="61"/>
      <c r="T5" s="55" t="s">
        <v>193</v>
      </c>
      <c r="U5" s="55"/>
      <c r="V5" s="55"/>
      <c r="W5" s="59"/>
      <c r="X5" s="57"/>
      <c r="Y5" s="108"/>
      <c r="Z5" s="60"/>
      <c r="AA5" s="108"/>
      <c r="AC5" s="108"/>
    </row>
    <row r="6" spans="1:29" x14ac:dyDescent="0.2">
      <c r="A6" s="43"/>
      <c r="B6" s="43" t="s">
        <v>194</v>
      </c>
      <c r="C6" s="63"/>
      <c r="D6" s="64"/>
      <c r="E6" s="65"/>
      <c r="F6" s="43"/>
      <c r="G6" s="66"/>
      <c r="H6" s="64"/>
      <c r="I6" s="65"/>
      <c r="J6" s="67"/>
      <c r="K6" s="68"/>
      <c r="L6" s="68"/>
      <c r="M6" s="69"/>
      <c r="N6" s="68"/>
      <c r="O6" s="70"/>
      <c r="P6" s="68"/>
      <c r="Q6" s="69"/>
      <c r="T6" s="43"/>
      <c r="U6" s="43" t="s">
        <v>194</v>
      </c>
      <c r="V6" s="43"/>
      <c r="W6" s="67"/>
      <c r="X6" s="64"/>
      <c r="Y6" s="109"/>
      <c r="Z6" s="68"/>
      <c r="AA6" s="109"/>
      <c r="AC6" s="109"/>
    </row>
    <row r="7" spans="1:29" x14ac:dyDescent="0.2">
      <c r="A7" s="43"/>
      <c r="B7" s="43"/>
      <c r="C7" s="63" t="s">
        <v>195</v>
      </c>
      <c r="D7" s="64">
        <v>33803</v>
      </c>
      <c r="E7" s="65">
        <v>35408</v>
      </c>
      <c r="F7" s="43"/>
      <c r="G7" s="66">
        <v>38500</v>
      </c>
      <c r="H7" s="64">
        <v>50000</v>
      </c>
      <c r="I7" s="65">
        <v>42500</v>
      </c>
      <c r="J7" s="67"/>
      <c r="K7" s="68">
        <f t="shared" ref="K7:M8" si="0">G7-O7</f>
        <v>38500</v>
      </c>
      <c r="L7" s="68">
        <f t="shared" si="0"/>
        <v>50000</v>
      </c>
      <c r="M7" s="69">
        <f t="shared" si="0"/>
        <v>42500</v>
      </c>
      <c r="N7" s="68"/>
      <c r="O7" s="70"/>
      <c r="P7" s="68"/>
      <c r="Q7" s="69"/>
      <c r="T7" s="43"/>
      <c r="U7" s="43"/>
      <c r="V7" s="43" t="s">
        <v>195</v>
      </c>
      <c r="W7" s="67">
        <f>Y7+AA7+AC7</f>
        <v>50000</v>
      </c>
      <c r="X7" s="64"/>
      <c r="Y7" s="109">
        <v>50000</v>
      </c>
      <c r="Z7" s="68"/>
      <c r="AA7" s="109"/>
      <c r="AC7" s="109"/>
    </row>
    <row r="8" spans="1:29" x14ac:dyDescent="0.2">
      <c r="A8" s="43"/>
      <c r="B8" s="43"/>
      <c r="C8" s="63" t="s">
        <v>196</v>
      </c>
      <c r="D8" s="64">
        <v>7292</v>
      </c>
      <c r="E8" s="65">
        <v>7292</v>
      </c>
      <c r="F8" s="43"/>
      <c r="G8" s="66">
        <v>7000</v>
      </c>
      <c r="H8" s="64">
        <v>12000</v>
      </c>
      <c r="I8" s="65">
        <v>12200</v>
      </c>
      <c r="J8" s="67"/>
      <c r="K8" s="68">
        <f t="shared" si="0"/>
        <v>7000</v>
      </c>
      <c r="L8" s="68">
        <f t="shared" si="0"/>
        <v>12000</v>
      </c>
      <c r="M8" s="69">
        <f t="shared" si="0"/>
        <v>12200</v>
      </c>
      <c r="N8" s="68"/>
      <c r="O8" s="70"/>
      <c r="P8" s="68"/>
      <c r="Q8" s="69"/>
      <c r="T8" s="43"/>
      <c r="U8" s="43"/>
      <c r="V8" s="43" t="s">
        <v>196</v>
      </c>
      <c r="W8" s="67">
        <f>Y8+AA8+AC8</f>
        <v>12000</v>
      </c>
      <c r="X8" s="64"/>
      <c r="Y8" s="109">
        <v>12000</v>
      </c>
      <c r="Z8" s="68"/>
      <c r="AA8" s="109"/>
      <c r="AC8" s="109"/>
    </row>
    <row r="9" spans="1:29" x14ac:dyDescent="0.2">
      <c r="A9" s="43"/>
      <c r="B9" s="43" t="s">
        <v>197</v>
      </c>
      <c r="C9" s="63"/>
      <c r="D9" s="64"/>
      <c r="E9" s="65"/>
      <c r="F9" s="43"/>
      <c r="G9" s="66"/>
      <c r="H9" s="64"/>
      <c r="I9" s="65"/>
      <c r="J9" s="67"/>
      <c r="K9" s="68"/>
      <c r="L9" s="68"/>
      <c r="M9" s="69"/>
      <c r="N9" s="68"/>
      <c r="O9" s="70"/>
      <c r="P9" s="68"/>
      <c r="Q9" s="69"/>
      <c r="T9" s="43"/>
      <c r="U9" s="43" t="s">
        <v>197</v>
      </c>
      <c r="V9" s="43"/>
      <c r="W9" s="67"/>
      <c r="X9" s="64"/>
      <c r="Y9" s="109"/>
      <c r="Z9" s="68"/>
      <c r="AA9" s="109"/>
      <c r="AC9" s="109"/>
    </row>
    <row r="10" spans="1:29" x14ac:dyDescent="0.2">
      <c r="A10" s="43"/>
      <c r="B10" s="43"/>
      <c r="C10" s="63" t="s">
        <v>198</v>
      </c>
      <c r="D10" s="64">
        <v>30000</v>
      </c>
      <c r="E10" s="65">
        <v>30000</v>
      </c>
      <c r="F10" s="43"/>
      <c r="G10" s="66"/>
      <c r="H10" s="64"/>
      <c r="I10" s="65"/>
      <c r="J10" s="67"/>
      <c r="K10" s="68"/>
      <c r="L10" s="68"/>
      <c r="M10" s="69"/>
      <c r="N10" s="68"/>
      <c r="O10" s="70"/>
      <c r="P10" s="68"/>
      <c r="Q10" s="69"/>
      <c r="T10" s="43"/>
      <c r="U10" s="43"/>
      <c r="V10" s="43" t="s">
        <v>198</v>
      </c>
      <c r="W10" s="67"/>
      <c r="X10" s="64"/>
      <c r="Y10" s="109"/>
      <c r="Z10" s="68"/>
      <c r="AA10" s="109"/>
      <c r="AC10" s="109"/>
    </row>
    <row r="11" spans="1:29" x14ac:dyDescent="0.2">
      <c r="A11" s="43"/>
      <c r="B11" s="43"/>
      <c r="C11" s="63" t="s">
        <v>199</v>
      </c>
      <c r="D11" s="64"/>
      <c r="E11" s="65"/>
      <c r="F11" s="43"/>
      <c r="G11" s="66">
        <v>7500</v>
      </c>
      <c r="H11" s="64">
        <v>7500</v>
      </c>
      <c r="I11" s="64">
        <v>7500</v>
      </c>
      <c r="J11" s="67"/>
      <c r="K11" s="68"/>
      <c r="L11" s="68"/>
      <c r="M11" s="69"/>
      <c r="N11" s="68"/>
      <c r="O11" s="70">
        <v>7500</v>
      </c>
      <c r="P11" s="68">
        <v>7500</v>
      </c>
      <c r="Q11" s="69">
        <v>7500</v>
      </c>
      <c r="T11" s="43"/>
      <c r="U11" s="43"/>
      <c r="V11" s="43" t="s">
        <v>199</v>
      </c>
      <c r="W11" s="67">
        <f t="shared" ref="W11:W17" si="1">Y11+AA11+AC11</f>
        <v>2500</v>
      </c>
      <c r="X11" s="64"/>
      <c r="Y11" s="109"/>
      <c r="Z11" s="68"/>
      <c r="AA11" s="109">
        <v>2500</v>
      </c>
      <c r="AC11" s="109"/>
    </row>
    <row r="12" spans="1:29" x14ac:dyDescent="0.2">
      <c r="A12" s="43"/>
      <c r="B12" s="43"/>
      <c r="C12" s="63" t="s">
        <v>200</v>
      </c>
      <c r="D12" s="64"/>
      <c r="E12" s="65"/>
      <c r="F12" s="43"/>
      <c r="G12" s="66">
        <v>15000</v>
      </c>
      <c r="H12" s="64">
        <v>15000</v>
      </c>
      <c r="I12" s="64">
        <v>15000</v>
      </c>
      <c r="J12" s="67"/>
      <c r="K12" s="68">
        <f t="shared" ref="K12:M17" si="2">G12-O12</f>
        <v>10000</v>
      </c>
      <c r="L12" s="68">
        <f>H12-P12</f>
        <v>2000</v>
      </c>
      <c r="M12" s="69"/>
      <c r="N12" s="68"/>
      <c r="O12" s="70">
        <v>5000</v>
      </c>
      <c r="P12" s="68">
        <v>13000</v>
      </c>
      <c r="Q12" s="69">
        <v>15000</v>
      </c>
      <c r="T12" s="43"/>
      <c r="U12" s="43"/>
      <c r="V12" s="43" t="s">
        <v>200</v>
      </c>
      <c r="W12" s="67">
        <f t="shared" si="1"/>
        <v>12000</v>
      </c>
      <c r="X12" s="64"/>
      <c r="Y12" s="109"/>
      <c r="Z12" s="68"/>
      <c r="AA12" s="109">
        <v>12000</v>
      </c>
      <c r="AC12" s="109"/>
    </row>
    <row r="13" spans="1:29" x14ac:dyDescent="0.2">
      <c r="A13" s="43"/>
      <c r="B13" s="43"/>
      <c r="C13" s="63" t="s">
        <v>201</v>
      </c>
      <c r="D13" s="64">
        <v>4570</v>
      </c>
      <c r="E13" s="65">
        <v>5777</v>
      </c>
      <c r="F13" s="43"/>
      <c r="G13" s="66">
        <v>6000</v>
      </c>
      <c r="H13" s="64">
        <v>6500</v>
      </c>
      <c r="I13" s="64">
        <v>7000</v>
      </c>
      <c r="J13" s="67"/>
      <c r="K13" s="68">
        <f t="shared" si="2"/>
        <v>6000</v>
      </c>
      <c r="L13" s="68">
        <f>H13-P13</f>
        <v>6500</v>
      </c>
      <c r="M13" s="69">
        <f>I13-Q13</f>
        <v>7000</v>
      </c>
      <c r="N13" s="68"/>
      <c r="O13" s="70"/>
      <c r="P13" s="68"/>
      <c r="Q13" s="69"/>
      <c r="T13" s="43"/>
      <c r="U13" s="43"/>
      <c r="V13" s="43" t="s">
        <v>201</v>
      </c>
      <c r="W13" s="67">
        <f t="shared" si="1"/>
        <v>7000</v>
      </c>
      <c r="X13" s="64"/>
      <c r="Y13" s="109">
        <v>1000</v>
      </c>
      <c r="Z13" s="68"/>
      <c r="AA13" s="109">
        <v>3000</v>
      </c>
      <c r="AC13" s="109">
        <v>3000</v>
      </c>
    </row>
    <row r="14" spans="1:29" x14ac:dyDescent="0.2">
      <c r="A14" s="43"/>
      <c r="B14" s="63" t="s">
        <v>166</v>
      </c>
      <c r="C14" s="43"/>
      <c r="D14" s="66"/>
      <c r="E14" s="65">
        <v>0</v>
      </c>
      <c r="F14" s="43"/>
      <c r="G14" s="66">
        <v>2000</v>
      </c>
      <c r="H14" s="64">
        <v>500</v>
      </c>
      <c r="I14" s="65">
        <v>4000</v>
      </c>
      <c r="J14" s="67"/>
      <c r="K14" s="68">
        <f t="shared" si="2"/>
        <v>2000</v>
      </c>
      <c r="L14" s="68">
        <f t="shared" si="2"/>
        <v>500</v>
      </c>
      <c r="M14" s="69">
        <f t="shared" si="2"/>
        <v>4000</v>
      </c>
      <c r="N14" s="68"/>
      <c r="O14" s="70"/>
      <c r="P14" s="68"/>
      <c r="Q14" s="69"/>
      <c r="T14" s="43"/>
      <c r="U14" s="43" t="s">
        <v>166</v>
      </c>
      <c r="V14" s="43"/>
      <c r="W14" s="67">
        <f t="shared" si="1"/>
        <v>500</v>
      </c>
      <c r="X14" s="64"/>
      <c r="Y14" s="109">
        <v>500</v>
      </c>
      <c r="Z14" s="68"/>
      <c r="AA14" s="109"/>
      <c r="AC14" s="109"/>
    </row>
    <row r="15" spans="1:29" x14ac:dyDescent="0.2">
      <c r="A15" s="43"/>
      <c r="B15" s="63" t="s">
        <v>26</v>
      </c>
      <c r="C15" s="43"/>
      <c r="D15" s="66">
        <v>11618</v>
      </c>
      <c r="E15" s="65">
        <v>3438</v>
      </c>
      <c r="F15" s="43"/>
      <c r="G15" s="66">
        <v>11000</v>
      </c>
      <c r="H15" s="64">
        <v>5000</v>
      </c>
      <c r="I15" s="65">
        <v>5000</v>
      </c>
      <c r="J15" s="67"/>
      <c r="K15" s="68">
        <f t="shared" si="2"/>
        <v>6000</v>
      </c>
      <c r="L15" s="68">
        <f t="shared" si="2"/>
        <v>0</v>
      </c>
      <c r="M15" s="69">
        <f t="shared" si="2"/>
        <v>0</v>
      </c>
      <c r="N15" s="68"/>
      <c r="O15" s="70">
        <v>5000</v>
      </c>
      <c r="P15" s="68">
        <v>5000</v>
      </c>
      <c r="Q15" s="69">
        <v>5000</v>
      </c>
      <c r="T15" s="43"/>
      <c r="U15" s="43" t="s">
        <v>26</v>
      </c>
      <c r="V15" s="43"/>
      <c r="W15" s="67">
        <f t="shared" si="1"/>
        <v>3150</v>
      </c>
      <c r="X15" s="64"/>
      <c r="Y15" s="109"/>
      <c r="Z15" s="68"/>
      <c r="AA15" s="109">
        <v>3150</v>
      </c>
      <c r="AC15" s="109"/>
    </row>
    <row r="16" spans="1:29" x14ac:dyDescent="0.2">
      <c r="A16" s="43"/>
      <c r="B16" s="43" t="s">
        <v>162</v>
      </c>
      <c r="C16" s="63"/>
      <c r="D16" s="64">
        <v>7642</v>
      </c>
      <c r="E16" s="65">
        <v>5286</v>
      </c>
      <c r="F16" s="43"/>
      <c r="G16" s="66">
        <v>3860</v>
      </c>
      <c r="H16" s="64">
        <v>3940</v>
      </c>
      <c r="I16" s="65">
        <v>4010</v>
      </c>
      <c r="J16" s="67"/>
      <c r="K16" s="68">
        <f t="shared" si="2"/>
        <v>600</v>
      </c>
      <c r="L16" s="68">
        <f t="shared" si="2"/>
        <v>680</v>
      </c>
      <c r="M16" s="69">
        <f t="shared" si="2"/>
        <v>750</v>
      </c>
      <c r="N16" s="68"/>
      <c r="O16" s="70">
        <v>3260</v>
      </c>
      <c r="P16" s="68">
        <v>3260</v>
      </c>
      <c r="Q16" s="69">
        <v>3260</v>
      </c>
      <c r="T16" s="43"/>
      <c r="U16" s="43" t="s">
        <v>162</v>
      </c>
      <c r="V16" s="43"/>
      <c r="W16" s="67">
        <f t="shared" si="1"/>
        <v>3940</v>
      </c>
      <c r="X16" s="64"/>
      <c r="Y16" s="109">
        <v>680</v>
      </c>
      <c r="Z16" s="68"/>
      <c r="AA16" s="109">
        <v>3260</v>
      </c>
      <c r="AC16" s="109"/>
    </row>
    <row r="17" spans="1:30" x14ac:dyDescent="0.2">
      <c r="A17" s="43"/>
      <c r="B17" s="43" t="s">
        <v>202</v>
      </c>
      <c r="C17" s="63"/>
      <c r="D17" s="64">
        <v>156</v>
      </c>
      <c r="E17" s="65"/>
      <c r="F17" s="43"/>
      <c r="G17" s="66">
        <v>90</v>
      </c>
      <c r="H17" s="64">
        <v>60</v>
      </c>
      <c r="I17" s="65">
        <v>60</v>
      </c>
      <c r="J17" s="67"/>
      <c r="K17" s="68">
        <f t="shared" si="2"/>
        <v>90</v>
      </c>
      <c r="L17" s="68">
        <f t="shared" si="2"/>
        <v>60</v>
      </c>
      <c r="M17" s="69">
        <f t="shared" si="2"/>
        <v>60</v>
      </c>
      <c r="N17" s="68"/>
      <c r="O17" s="70"/>
      <c r="P17" s="68"/>
      <c r="Q17" s="69"/>
      <c r="T17" s="43"/>
      <c r="U17" s="43" t="s">
        <v>202</v>
      </c>
      <c r="V17" s="43"/>
      <c r="W17" s="67">
        <f t="shared" si="1"/>
        <v>60</v>
      </c>
      <c r="X17" s="64"/>
      <c r="Y17" s="109">
        <v>60</v>
      </c>
      <c r="Z17" s="68"/>
      <c r="AA17" s="109"/>
      <c r="AC17" s="109"/>
    </row>
    <row r="18" spans="1:30" ht="13.5" thickBot="1" x14ac:dyDescent="0.25">
      <c r="A18" s="43"/>
      <c r="B18" s="43"/>
      <c r="C18" s="71" t="s">
        <v>54</v>
      </c>
      <c r="D18" s="72">
        <f>SUM(D6:D17)</f>
        <v>95081</v>
      </c>
      <c r="E18" s="73">
        <f>SUM(E6:E16)</f>
        <v>87201</v>
      </c>
      <c r="F18" s="43"/>
      <c r="G18" s="74">
        <f>SUM(G6:G17)</f>
        <v>90950</v>
      </c>
      <c r="H18" s="72">
        <f>SUM(H6:H17)</f>
        <v>100500</v>
      </c>
      <c r="I18" s="73">
        <f>SUM(I6:I17)</f>
        <v>97270</v>
      </c>
      <c r="J18" s="67"/>
      <c r="K18" s="75">
        <f>SUM(K6:K17)</f>
        <v>70190</v>
      </c>
      <c r="L18" s="76">
        <f>SUM(L6:L17)</f>
        <v>71740</v>
      </c>
      <c r="M18" s="77">
        <f>SUM(M6:M17)</f>
        <v>66510</v>
      </c>
      <c r="N18" s="68"/>
      <c r="O18" s="75">
        <f>SUM(O6:O17)</f>
        <v>20760</v>
      </c>
      <c r="P18" s="76">
        <f>SUM(P6:P17)</f>
        <v>28760</v>
      </c>
      <c r="Q18" s="77">
        <f>SUM(Q6:Q17)</f>
        <v>30760</v>
      </c>
      <c r="T18" s="43"/>
      <c r="U18" s="43"/>
      <c r="V18" s="43"/>
      <c r="W18" s="106">
        <f>SUM(W6:W17)</f>
        <v>91150</v>
      </c>
      <c r="X18" s="64"/>
      <c r="Y18" s="110">
        <f>SUM(Y6:Y17)</f>
        <v>64240</v>
      </c>
      <c r="Z18" s="68"/>
      <c r="AA18" s="110">
        <f>SUM(AA6:AA17)</f>
        <v>23910</v>
      </c>
      <c r="AC18" s="110">
        <f>SUM(AC6:AC17)</f>
        <v>3000</v>
      </c>
    </row>
    <row r="19" spans="1:30" ht="13.5" thickTop="1" x14ac:dyDescent="0.2">
      <c r="A19" s="43"/>
      <c r="B19" s="43"/>
      <c r="C19" s="63"/>
      <c r="D19" s="64"/>
      <c r="E19" s="65"/>
      <c r="F19" s="43"/>
      <c r="G19" s="66"/>
      <c r="H19" s="64"/>
      <c r="I19" s="65"/>
      <c r="J19" s="67"/>
      <c r="K19" s="68"/>
      <c r="L19" s="68"/>
      <c r="M19" s="69"/>
      <c r="N19" s="68"/>
      <c r="O19" s="70"/>
      <c r="P19" s="68"/>
      <c r="Q19" s="69"/>
      <c r="T19" s="43"/>
      <c r="U19" s="43"/>
      <c r="V19" s="43"/>
      <c r="W19" s="67"/>
      <c r="X19" s="64"/>
      <c r="Y19" s="109"/>
      <c r="Z19" s="68"/>
      <c r="AA19" s="109"/>
      <c r="AC19" s="109"/>
    </row>
    <row r="20" spans="1:30" x14ac:dyDescent="0.2">
      <c r="A20" s="55" t="s">
        <v>203</v>
      </c>
      <c r="B20" s="43"/>
      <c r="C20" s="63"/>
      <c r="D20" s="64"/>
      <c r="E20" s="65"/>
      <c r="F20" s="43"/>
      <c r="G20" s="66"/>
      <c r="H20" s="64"/>
      <c r="I20" s="65"/>
      <c r="J20" s="67"/>
      <c r="K20" s="68"/>
      <c r="L20" s="68"/>
      <c r="M20" s="69"/>
      <c r="N20" s="68"/>
      <c r="O20" s="70"/>
      <c r="P20" s="68"/>
      <c r="Q20" s="69"/>
      <c r="T20" s="55" t="s">
        <v>203</v>
      </c>
      <c r="U20" s="43"/>
      <c r="V20" s="43"/>
      <c r="W20" s="67"/>
      <c r="X20" s="64"/>
      <c r="Y20" s="109"/>
      <c r="Z20" s="68"/>
      <c r="AA20" s="109"/>
      <c r="AC20" s="109"/>
    </row>
    <row r="21" spans="1:30" x14ac:dyDescent="0.2">
      <c r="A21" s="55"/>
      <c r="B21" s="43" t="s">
        <v>204</v>
      </c>
      <c r="C21" s="63"/>
      <c r="D21" s="64">
        <v>62257</v>
      </c>
      <c r="E21" s="65">
        <v>56933</v>
      </c>
      <c r="F21" s="43"/>
      <c r="G21" s="66">
        <v>44877</v>
      </c>
      <c r="H21" s="64">
        <v>49500</v>
      </c>
      <c r="I21" s="65">
        <v>50740</v>
      </c>
      <c r="J21" s="67"/>
      <c r="K21" s="68">
        <f t="shared" ref="K21:M30" si="3">G21-O21</f>
        <v>31714</v>
      </c>
      <c r="L21" s="68">
        <f t="shared" si="3"/>
        <v>35500</v>
      </c>
      <c r="M21" s="69">
        <f t="shared" si="3"/>
        <v>34810</v>
      </c>
      <c r="N21" s="68"/>
      <c r="O21" s="70">
        <v>13163</v>
      </c>
      <c r="P21" s="68">
        <v>14000</v>
      </c>
      <c r="Q21" s="69">
        <v>15930</v>
      </c>
      <c r="T21" s="55"/>
      <c r="U21" s="43" t="s">
        <v>204</v>
      </c>
      <c r="V21" s="43"/>
      <c r="W21" s="67">
        <f t="shared" ref="W21:W29" si="4">Y21+AA21+AC21</f>
        <v>49500</v>
      </c>
      <c r="X21" s="64"/>
      <c r="Y21" s="109">
        <v>35000</v>
      </c>
      <c r="Z21" s="68"/>
      <c r="AA21" s="109">
        <v>14500</v>
      </c>
      <c r="AC21" s="109"/>
    </row>
    <row r="22" spans="1:30" x14ac:dyDescent="0.2">
      <c r="A22" s="55"/>
      <c r="B22" s="43" t="s">
        <v>205</v>
      </c>
      <c r="C22" s="63"/>
      <c r="D22" s="64">
        <v>14448</v>
      </c>
      <c r="E22" s="65">
        <v>13810</v>
      </c>
      <c r="F22" s="43"/>
      <c r="G22" s="66">
        <v>14808</v>
      </c>
      <c r="H22" s="64">
        <v>14500</v>
      </c>
      <c r="I22" s="65">
        <v>15500</v>
      </c>
      <c r="J22" s="67"/>
      <c r="K22" s="68">
        <f t="shared" si="3"/>
        <v>14808</v>
      </c>
      <c r="L22" s="68">
        <f t="shared" si="3"/>
        <v>14500</v>
      </c>
      <c r="M22" s="69">
        <f t="shared" si="3"/>
        <v>15500</v>
      </c>
      <c r="N22" s="68"/>
      <c r="O22" s="70"/>
      <c r="P22" s="68"/>
      <c r="Q22" s="69"/>
      <c r="T22" s="55"/>
      <c r="U22" s="43" t="s">
        <v>205</v>
      </c>
      <c r="V22" s="43"/>
      <c r="W22" s="67">
        <f t="shared" si="4"/>
        <v>14500</v>
      </c>
      <c r="X22" s="64"/>
      <c r="Y22" s="109">
        <v>14500</v>
      </c>
      <c r="Z22" s="68"/>
      <c r="AA22" s="109"/>
      <c r="AC22" s="109"/>
    </row>
    <row r="23" spans="1:30" x14ac:dyDescent="0.2">
      <c r="A23" s="55"/>
      <c r="B23" s="43" t="s">
        <v>206</v>
      </c>
      <c r="C23" s="63"/>
      <c r="D23" s="64">
        <v>9454</v>
      </c>
      <c r="E23" s="65">
        <v>7498</v>
      </c>
      <c r="F23" s="43"/>
      <c r="G23" s="66">
        <v>8267</v>
      </c>
      <c r="H23" s="64">
        <v>10000</v>
      </c>
      <c r="I23" s="65">
        <v>8500</v>
      </c>
      <c r="J23" s="67"/>
      <c r="K23" s="68">
        <f t="shared" si="3"/>
        <v>8267</v>
      </c>
      <c r="L23" s="68">
        <f t="shared" si="3"/>
        <v>10000</v>
      </c>
      <c r="M23" s="69">
        <f t="shared" si="3"/>
        <v>8500</v>
      </c>
      <c r="N23" s="68"/>
      <c r="O23" s="70"/>
      <c r="P23" s="68"/>
      <c r="Q23" s="69"/>
      <c r="T23" s="55"/>
      <c r="U23" s="43" t="s">
        <v>206</v>
      </c>
      <c r="V23" s="43"/>
      <c r="W23" s="67">
        <f t="shared" si="4"/>
        <v>11000</v>
      </c>
      <c r="X23" s="64"/>
      <c r="Y23" s="109">
        <v>11000</v>
      </c>
      <c r="Z23" s="68"/>
      <c r="AA23" s="109"/>
      <c r="AC23" s="109"/>
    </row>
    <row r="24" spans="1:30" x14ac:dyDescent="0.2">
      <c r="A24" s="55"/>
      <c r="B24" s="43" t="s">
        <v>207</v>
      </c>
      <c r="C24" s="63"/>
      <c r="D24" s="64">
        <v>7892</v>
      </c>
      <c r="E24" s="65">
        <v>3064</v>
      </c>
      <c r="F24" s="43"/>
      <c r="G24" s="66">
        <v>3194</v>
      </c>
      <c r="H24" s="64">
        <v>3200</v>
      </c>
      <c r="I24" s="65">
        <v>3200</v>
      </c>
      <c r="J24" s="67"/>
      <c r="K24" s="68">
        <f t="shared" si="3"/>
        <v>3114</v>
      </c>
      <c r="L24" s="68">
        <f t="shared" si="3"/>
        <v>3120</v>
      </c>
      <c r="M24" s="69">
        <f t="shared" si="3"/>
        <v>3120</v>
      </c>
      <c r="N24" s="68"/>
      <c r="O24" s="70">
        <v>80</v>
      </c>
      <c r="P24" s="68">
        <v>80</v>
      </c>
      <c r="Q24" s="69">
        <v>80</v>
      </c>
      <c r="T24" s="55"/>
      <c r="U24" s="43" t="s">
        <v>207</v>
      </c>
      <c r="V24" s="43"/>
      <c r="W24" s="67">
        <f t="shared" si="4"/>
        <v>7700</v>
      </c>
      <c r="X24" s="64"/>
      <c r="Y24" s="109">
        <v>4920</v>
      </c>
      <c r="Z24" s="68"/>
      <c r="AA24" s="109">
        <v>80</v>
      </c>
      <c r="AC24" s="109">
        <v>2700</v>
      </c>
    </row>
    <row r="25" spans="1:30" x14ac:dyDescent="0.2">
      <c r="A25" s="55"/>
      <c r="B25" s="43" t="s">
        <v>208</v>
      </c>
      <c r="C25" s="63"/>
      <c r="D25" s="64">
        <v>4460</v>
      </c>
      <c r="E25" s="65">
        <v>4578</v>
      </c>
      <c r="F25" s="43"/>
      <c r="G25" s="66">
        <v>3101</v>
      </c>
      <c r="H25" s="64">
        <v>3100</v>
      </c>
      <c r="I25" s="65">
        <v>3100</v>
      </c>
      <c r="J25" s="67"/>
      <c r="K25" s="68">
        <f t="shared" si="3"/>
        <v>2981</v>
      </c>
      <c r="L25" s="68">
        <f t="shared" si="3"/>
        <v>2980</v>
      </c>
      <c r="M25" s="69">
        <f t="shared" si="3"/>
        <v>2980</v>
      </c>
      <c r="N25" s="68"/>
      <c r="O25" s="70">
        <v>120</v>
      </c>
      <c r="P25" s="68">
        <v>120</v>
      </c>
      <c r="Q25" s="69">
        <v>120</v>
      </c>
      <c r="T25" s="55"/>
      <c r="U25" s="43" t="s">
        <v>208</v>
      </c>
      <c r="V25" s="43"/>
      <c r="W25" s="67">
        <f t="shared" si="4"/>
        <v>4000</v>
      </c>
      <c r="X25" s="64"/>
      <c r="Y25" s="109">
        <v>3880</v>
      </c>
      <c r="Z25" s="68"/>
      <c r="AA25" s="109">
        <v>120</v>
      </c>
      <c r="AC25" s="109"/>
      <c r="AD25" s="2"/>
    </row>
    <row r="26" spans="1:30" x14ac:dyDescent="0.2">
      <c r="A26" s="55"/>
      <c r="B26" s="43" t="s">
        <v>209</v>
      </c>
      <c r="C26" s="63"/>
      <c r="D26" s="64">
        <v>586</v>
      </c>
      <c r="E26" s="65">
        <v>377</v>
      </c>
      <c r="F26" s="43"/>
      <c r="G26" s="66">
        <v>1150</v>
      </c>
      <c r="H26" s="64">
        <v>1200</v>
      </c>
      <c r="I26" s="65">
        <v>1250</v>
      </c>
      <c r="J26" s="67"/>
      <c r="K26" s="68">
        <f t="shared" si="3"/>
        <v>1150</v>
      </c>
      <c r="L26" s="68">
        <f t="shared" si="3"/>
        <v>1200</v>
      </c>
      <c r="M26" s="69">
        <f t="shared" si="3"/>
        <v>1250</v>
      </c>
      <c r="N26" s="68"/>
      <c r="O26" s="70"/>
      <c r="P26" s="68"/>
      <c r="Q26" s="69"/>
      <c r="T26" s="55"/>
      <c r="U26" s="43" t="s">
        <v>209</v>
      </c>
      <c r="V26" s="43"/>
      <c r="W26" s="67">
        <f t="shared" si="4"/>
        <v>1500</v>
      </c>
      <c r="X26" s="64"/>
      <c r="Y26" s="109">
        <v>1200</v>
      </c>
      <c r="Z26" s="68"/>
      <c r="AA26" s="109"/>
      <c r="AC26" s="109">
        <v>300</v>
      </c>
    </row>
    <row r="27" spans="1:30" x14ac:dyDescent="0.2">
      <c r="A27" s="55"/>
      <c r="B27" s="43" t="s">
        <v>210</v>
      </c>
      <c r="C27" s="63"/>
      <c r="D27" s="64">
        <v>1741</v>
      </c>
      <c r="E27" s="65">
        <v>1035</v>
      </c>
      <c r="F27" s="43"/>
      <c r="G27" s="66">
        <v>1241</v>
      </c>
      <c r="H27" s="64">
        <v>1500</v>
      </c>
      <c r="I27" s="65">
        <v>2000</v>
      </c>
      <c r="J27" s="67"/>
      <c r="K27" s="68"/>
      <c r="L27" s="68"/>
      <c r="M27" s="69"/>
      <c r="N27" s="68"/>
      <c r="O27" s="70">
        <v>1241</v>
      </c>
      <c r="P27" s="68">
        <f>H27</f>
        <v>1500</v>
      </c>
      <c r="Q27" s="69">
        <f>I27</f>
        <v>2000</v>
      </c>
      <c r="T27" s="55"/>
      <c r="U27" s="43" t="s">
        <v>210</v>
      </c>
      <c r="V27" s="43"/>
      <c r="W27" s="67">
        <f t="shared" si="4"/>
        <v>1700</v>
      </c>
      <c r="X27" s="64"/>
      <c r="Y27" s="109"/>
      <c r="Z27" s="68"/>
      <c r="AA27" s="109">
        <v>1700</v>
      </c>
      <c r="AC27" s="109"/>
    </row>
    <row r="28" spans="1:30" x14ac:dyDescent="0.2">
      <c r="A28" s="55"/>
      <c r="B28" s="43" t="s">
        <v>211</v>
      </c>
      <c r="C28" s="63"/>
      <c r="D28" s="64">
        <v>3100</v>
      </c>
      <c r="E28" s="65">
        <v>0</v>
      </c>
      <c r="F28" s="43"/>
      <c r="G28" s="66">
        <v>11800</v>
      </c>
      <c r="H28" s="64">
        <v>10000</v>
      </c>
      <c r="I28" s="65">
        <v>11000</v>
      </c>
      <c r="J28" s="67"/>
      <c r="K28" s="68">
        <f t="shared" si="3"/>
        <v>7800</v>
      </c>
      <c r="L28" s="68"/>
      <c r="M28" s="69"/>
      <c r="N28" s="68"/>
      <c r="O28" s="70">
        <v>4000</v>
      </c>
      <c r="P28" s="68">
        <f>H28</f>
        <v>10000</v>
      </c>
      <c r="Q28" s="69">
        <f>I28</f>
        <v>11000</v>
      </c>
      <c r="T28" s="55"/>
      <c r="U28" s="43" t="s">
        <v>211</v>
      </c>
      <c r="V28" s="43"/>
      <c r="W28" s="67">
        <f t="shared" si="4"/>
        <v>3000</v>
      </c>
      <c r="X28" s="64"/>
      <c r="Y28" s="109"/>
      <c r="Z28" s="68"/>
      <c r="AA28" s="109">
        <v>3000</v>
      </c>
      <c r="AC28" s="109"/>
    </row>
    <row r="29" spans="1:30" x14ac:dyDescent="0.2">
      <c r="A29" s="55"/>
      <c r="B29" s="43" t="s">
        <v>6</v>
      </c>
      <c r="C29" s="63"/>
      <c r="D29" s="64">
        <v>710</v>
      </c>
      <c r="E29" s="65">
        <v>613</v>
      </c>
      <c r="F29" s="43"/>
      <c r="G29" s="66">
        <v>613</v>
      </c>
      <c r="H29" s="64">
        <v>700</v>
      </c>
      <c r="I29" s="65">
        <v>650</v>
      </c>
      <c r="J29" s="67"/>
      <c r="K29" s="68">
        <f t="shared" si="3"/>
        <v>473.07828477185268</v>
      </c>
      <c r="L29" s="68">
        <f t="shared" si="3"/>
        <v>499.68159203980099</v>
      </c>
      <c r="M29" s="69">
        <f t="shared" si="3"/>
        <v>444.4484424796957</v>
      </c>
      <c r="N29" s="68"/>
      <c r="O29" s="70">
        <f>O18*G29/G18</f>
        <v>139.92171522814732</v>
      </c>
      <c r="P29" s="68">
        <f>P18*H29/H18</f>
        <v>200.31840796019901</v>
      </c>
      <c r="Q29" s="69">
        <f>Q18*I29/I18</f>
        <v>205.5515575203043</v>
      </c>
      <c r="T29" s="55"/>
      <c r="U29" s="43" t="s">
        <v>6</v>
      </c>
      <c r="V29" s="43"/>
      <c r="W29" s="67">
        <f t="shared" si="4"/>
        <v>700</v>
      </c>
      <c r="X29" s="64"/>
      <c r="Y29" s="109">
        <v>500</v>
      </c>
      <c r="Z29" s="68"/>
      <c r="AA29" s="109">
        <v>200</v>
      </c>
      <c r="AC29" s="109"/>
    </row>
    <row r="30" spans="1:30" x14ac:dyDescent="0.2">
      <c r="A30" s="55"/>
      <c r="B30" s="43" t="s">
        <v>212</v>
      </c>
      <c r="C30" s="63"/>
      <c r="D30" s="64"/>
      <c r="E30" s="65">
        <v>-160</v>
      </c>
      <c r="F30" s="43"/>
      <c r="G30" s="66"/>
      <c r="H30" s="64"/>
      <c r="I30" s="65"/>
      <c r="J30" s="67"/>
      <c r="K30" s="68">
        <f t="shared" si="3"/>
        <v>-1500</v>
      </c>
      <c r="L30" s="68">
        <f t="shared" si="3"/>
        <v>-1500</v>
      </c>
      <c r="M30" s="69">
        <f t="shared" si="3"/>
        <v>-1500</v>
      </c>
      <c r="N30" s="68"/>
      <c r="O30" s="70">
        <v>1500</v>
      </c>
      <c r="P30" s="68">
        <v>1500</v>
      </c>
      <c r="Q30" s="69">
        <v>1500</v>
      </c>
      <c r="T30" s="55"/>
      <c r="U30" s="43" t="s">
        <v>212</v>
      </c>
      <c r="V30" s="43"/>
      <c r="W30" s="67"/>
      <c r="X30" s="64"/>
      <c r="Y30" s="109">
        <f>W30-AA30</f>
        <v>-1500</v>
      </c>
      <c r="Z30" s="68"/>
      <c r="AA30" s="109">
        <v>1500</v>
      </c>
      <c r="AC30" s="109"/>
    </row>
    <row r="31" spans="1:30" x14ac:dyDescent="0.2">
      <c r="A31" s="55"/>
      <c r="B31" s="43" t="s">
        <v>213</v>
      </c>
      <c r="C31" s="63"/>
      <c r="D31" s="64"/>
      <c r="E31" s="65">
        <v>3000</v>
      </c>
      <c r="F31" s="43"/>
      <c r="G31" s="66"/>
      <c r="H31" s="64"/>
      <c r="I31" s="65"/>
      <c r="J31" s="67"/>
      <c r="K31" s="68"/>
      <c r="L31" s="68"/>
      <c r="M31" s="78"/>
      <c r="N31" s="68"/>
      <c r="O31" s="70"/>
      <c r="P31" s="68"/>
      <c r="Q31" s="69"/>
      <c r="T31" s="55"/>
      <c r="U31" s="43" t="s">
        <v>213</v>
      </c>
      <c r="V31" s="43"/>
      <c r="W31" s="67"/>
      <c r="X31" s="64"/>
      <c r="Y31" s="109"/>
      <c r="Z31" s="68"/>
      <c r="AA31" s="109"/>
      <c r="AC31" s="109"/>
    </row>
    <row r="32" spans="1:30" x14ac:dyDescent="0.2">
      <c r="A32" s="55"/>
      <c r="B32" s="43"/>
      <c r="C32" s="71" t="s">
        <v>214</v>
      </c>
      <c r="D32" s="79">
        <f>SUM(D21:D31)</f>
        <v>104648</v>
      </c>
      <c r="E32" s="80">
        <f>SUM(E21:E31)</f>
        <v>90748</v>
      </c>
      <c r="F32" s="43"/>
      <c r="G32" s="81">
        <f>SUM(G21:G31)</f>
        <v>89051</v>
      </c>
      <c r="H32" s="79">
        <f>SUM(H21:H31)</f>
        <v>93700</v>
      </c>
      <c r="I32" s="80">
        <f>SUM(I21:I31)</f>
        <v>95940</v>
      </c>
      <c r="J32" s="67"/>
      <c r="K32" s="82">
        <f>SUM(K21:K31)</f>
        <v>68807.078284771851</v>
      </c>
      <c r="L32" s="82">
        <f>SUM(L21:L31)</f>
        <v>66299.681592039808</v>
      </c>
      <c r="M32" s="83">
        <f>SUM(M21:M31)</f>
        <v>65104.448442479697</v>
      </c>
      <c r="N32" s="68"/>
      <c r="O32" s="84">
        <f>SUM(O21:O31)</f>
        <v>20243.921715228149</v>
      </c>
      <c r="P32" s="82">
        <f>SUM(P21:P31)</f>
        <v>27400.3184079602</v>
      </c>
      <c r="Q32" s="83">
        <f>SUM(Q21:Q31)</f>
        <v>30835.551557520303</v>
      </c>
      <c r="T32" s="55"/>
      <c r="U32" s="43"/>
      <c r="V32" s="105"/>
      <c r="W32" s="107">
        <f>SUM(W21:W31)</f>
        <v>93600</v>
      </c>
      <c r="X32" s="64"/>
      <c r="Y32" s="111">
        <f>SUM(Y21:Y31)</f>
        <v>69500</v>
      </c>
      <c r="Z32" s="68"/>
      <c r="AA32" s="111">
        <f>SUM(AA21:AA31)</f>
        <v>21100</v>
      </c>
      <c r="AC32" s="111">
        <f>SUM(AC21:AC31)</f>
        <v>3000</v>
      </c>
    </row>
    <row r="33" spans="1:29" x14ac:dyDescent="0.2">
      <c r="A33" s="55"/>
      <c r="B33" s="43"/>
      <c r="C33" s="63"/>
      <c r="D33" s="64"/>
      <c r="E33" s="65"/>
      <c r="F33" s="43"/>
      <c r="G33" s="66"/>
      <c r="H33" s="64"/>
      <c r="I33" s="65"/>
      <c r="J33" s="67"/>
      <c r="K33" s="68"/>
      <c r="L33" s="68"/>
      <c r="M33" s="78"/>
      <c r="N33" s="68"/>
      <c r="O33" s="70"/>
      <c r="P33" s="68"/>
      <c r="Q33" s="78"/>
      <c r="T33" s="55"/>
      <c r="U33" s="43"/>
      <c r="V33" s="43"/>
      <c r="W33" s="67"/>
      <c r="X33" s="64"/>
      <c r="Y33" s="109"/>
      <c r="Z33" s="68"/>
      <c r="AA33" s="109"/>
      <c r="AC33" s="109"/>
    </row>
    <row r="34" spans="1:29" ht="13.5" thickBot="1" x14ac:dyDescent="0.25">
      <c r="A34" s="55"/>
      <c r="B34" s="43"/>
      <c r="C34" s="85" t="s">
        <v>215</v>
      </c>
      <c r="D34" s="74" t="e">
        <f>D18-#REF!</f>
        <v>#REF!</v>
      </c>
      <c r="E34" s="73" t="e">
        <f>E18-#REF!</f>
        <v>#REF!</v>
      </c>
      <c r="F34" s="43"/>
      <c r="G34" s="74" t="e">
        <f>G18-#REF!</f>
        <v>#REF!</v>
      </c>
      <c r="H34" s="72" t="e">
        <f>H18-#REF!</f>
        <v>#REF!</v>
      </c>
      <c r="I34" s="73" t="e">
        <f>I18-#REF!</f>
        <v>#REF!</v>
      </c>
      <c r="J34" s="67"/>
      <c r="K34" s="76" t="e">
        <f>K18-#REF!</f>
        <v>#REF!</v>
      </c>
      <c r="L34" s="76" t="e">
        <f>L18-#REF!</f>
        <v>#REF!</v>
      </c>
      <c r="M34" s="77" t="e">
        <f>M18-#REF!</f>
        <v>#REF!</v>
      </c>
      <c r="N34" s="68"/>
      <c r="O34" s="75" t="e">
        <f>O18-#REF!</f>
        <v>#REF!</v>
      </c>
      <c r="P34" s="76" t="e">
        <f>P18-#REF!</f>
        <v>#REF!</v>
      </c>
      <c r="Q34" s="77" t="e">
        <f>Q18-#REF!</f>
        <v>#REF!</v>
      </c>
      <c r="T34" s="55"/>
      <c r="U34" s="43"/>
      <c r="V34" s="89" t="s">
        <v>215</v>
      </c>
      <c r="W34" s="103">
        <f>W18-W32</f>
        <v>-2450</v>
      </c>
      <c r="X34" s="64"/>
      <c r="Y34" s="103">
        <f>Y18-Y32</f>
        <v>-5260</v>
      </c>
      <c r="Z34" s="68"/>
      <c r="AA34" s="103">
        <f>AA18-AA32</f>
        <v>2810</v>
      </c>
      <c r="AC34" s="103">
        <f>AC18-AC32</f>
        <v>0</v>
      </c>
    </row>
    <row r="35" spans="1:29" ht="13.5" thickTop="1" x14ac:dyDescent="0.2">
      <c r="A35" s="55"/>
      <c r="B35" s="43"/>
      <c r="C35" s="43"/>
      <c r="D35" s="64"/>
      <c r="E35" s="64"/>
      <c r="F35" s="43"/>
      <c r="G35" s="64"/>
      <c r="H35" s="64"/>
      <c r="I35" s="65"/>
      <c r="J35" s="46"/>
      <c r="K35" s="86"/>
      <c r="L35" s="86"/>
      <c r="M35" s="87"/>
      <c r="N35" s="86"/>
      <c r="O35" s="88"/>
      <c r="P35" s="86"/>
      <c r="Q35" s="87"/>
      <c r="T35" s="55"/>
    </row>
    <row r="36" spans="1:29" ht="13.5" thickBot="1" x14ac:dyDescent="0.25">
      <c r="A36" s="55"/>
      <c r="B36" s="43"/>
      <c r="C36" s="89" t="s">
        <v>216</v>
      </c>
      <c r="D36" s="64"/>
      <c r="E36" s="64"/>
      <c r="F36" s="43"/>
      <c r="G36" s="74" t="e">
        <f>G34</f>
        <v>#REF!</v>
      </c>
      <c r="H36" s="72" t="e">
        <f>G36+H34</f>
        <v>#REF!</v>
      </c>
      <c r="I36" s="72" t="e">
        <f>H36+I34</f>
        <v>#REF!</v>
      </c>
      <c r="J36" s="67"/>
      <c r="K36" s="75" t="e">
        <f>K34</f>
        <v>#REF!</v>
      </c>
      <c r="L36" s="72" t="e">
        <f>K36+L34</f>
        <v>#REF!</v>
      </c>
      <c r="M36" s="73" t="e">
        <f>L36+M34</f>
        <v>#REF!</v>
      </c>
      <c r="N36" s="64"/>
      <c r="O36" s="75" t="e">
        <f>O34</f>
        <v>#REF!</v>
      </c>
      <c r="P36" s="72" t="e">
        <f>O36+P34</f>
        <v>#REF!</v>
      </c>
      <c r="Q36" s="73" t="e">
        <f>P36+Q34</f>
        <v>#REF!</v>
      </c>
      <c r="T36" s="55"/>
    </row>
    <row r="37" spans="1:29" ht="13.5" thickTop="1" x14ac:dyDescent="0.2"/>
  </sheetData>
  <sheetProtection selectLockedCells="1" selectUnlockedCells="1"/>
  <mergeCells count="3">
    <mergeCell ref="G3:I3"/>
    <mergeCell ref="K3:M3"/>
    <mergeCell ref="O3:Q3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04AF-FD98-4777-85E7-2A34F2EA3542}">
  <sheetPr>
    <tabColor theme="3" tint="0.39997558519241921"/>
  </sheetPr>
  <dimension ref="A1:F5"/>
  <sheetViews>
    <sheetView workbookViewId="0">
      <selection activeCell="A3" sqref="A3:D3"/>
    </sheetView>
  </sheetViews>
  <sheetFormatPr defaultRowHeight="12.75" x14ac:dyDescent="0.2"/>
  <cols>
    <col min="2" max="2" width="24.5703125" bestFit="1" customWidth="1"/>
    <col min="3" max="3" width="17.28515625" bestFit="1" customWidth="1"/>
    <col min="5" max="5" width="14.7109375" bestFit="1" customWidth="1"/>
    <col min="6" max="6" width="10.140625" bestFit="1" customWidth="1"/>
  </cols>
  <sheetData>
    <row r="1" spans="1:6" ht="15" x14ac:dyDescent="0.25">
      <c r="A1" s="134"/>
      <c r="B1" s="134" t="s">
        <v>319</v>
      </c>
      <c r="C1" s="134"/>
      <c r="D1" s="135" t="s">
        <v>7</v>
      </c>
      <c r="F1" s="138">
        <v>43555</v>
      </c>
    </row>
    <row r="2" spans="1:6" x14ac:dyDescent="0.2">
      <c r="D2" s="136"/>
      <c r="E2" s="4" t="s">
        <v>331</v>
      </c>
    </row>
    <row r="3" spans="1:6" x14ac:dyDescent="0.2">
      <c r="B3" s="17"/>
      <c r="D3" s="136"/>
      <c r="E3" s="149"/>
    </row>
    <row r="4" spans="1:6" ht="15.75" thickBot="1" x14ac:dyDescent="0.3">
      <c r="D4" s="137"/>
    </row>
    <row r="5" spans="1:6" ht="13.5" thickTop="1" x14ac:dyDescent="0.2"/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D9"/>
  <sheetViews>
    <sheetView workbookViewId="0">
      <selection activeCell="J41" sqref="J41"/>
    </sheetView>
  </sheetViews>
  <sheetFormatPr defaultRowHeight="12.75" x14ac:dyDescent="0.2"/>
  <cols>
    <col min="2" max="2" width="49.85546875" bestFit="1" customWidth="1"/>
    <col min="4" max="4" width="11.85546875" customWidth="1"/>
    <col min="6" max="6" width="10.140625" bestFit="1" customWidth="1"/>
  </cols>
  <sheetData>
    <row r="1" spans="1:4" ht="15" x14ac:dyDescent="0.25">
      <c r="A1" s="134"/>
      <c r="B1" s="134" t="s">
        <v>318</v>
      </c>
      <c r="C1" s="135" t="s">
        <v>7</v>
      </c>
      <c r="D1" s="96">
        <f>'H4 20-21 summary'!D3</f>
        <v>45199</v>
      </c>
    </row>
    <row r="2" spans="1:4" x14ac:dyDescent="0.2">
      <c r="C2" s="136"/>
    </row>
    <row r="3" spans="1:4" x14ac:dyDescent="0.2">
      <c r="C3" s="148"/>
    </row>
    <row r="4" spans="1:4" x14ac:dyDescent="0.2">
      <c r="A4">
        <v>4130</v>
      </c>
      <c r="B4" t="s">
        <v>332</v>
      </c>
      <c r="C4" s="148">
        <v>500</v>
      </c>
      <c r="D4" s="13"/>
    </row>
    <row r="5" spans="1:4" x14ac:dyDescent="0.2">
      <c r="C5" s="148"/>
      <c r="D5" s="13"/>
    </row>
    <row r="6" spans="1:4" x14ac:dyDescent="0.2">
      <c r="C6" s="148"/>
      <c r="D6" s="13"/>
    </row>
    <row r="7" spans="1:4" x14ac:dyDescent="0.2">
      <c r="C7" s="136"/>
    </row>
    <row r="8" spans="1:4" ht="15.75" thickBot="1" x14ac:dyDescent="0.3">
      <c r="C8" s="137">
        <f>SUM(C3:C7)</f>
        <v>500</v>
      </c>
    </row>
    <row r="9" spans="1:4" ht="13.5" thickTop="1" x14ac:dyDescent="0.2">
      <c r="C9" s="136"/>
    </row>
  </sheetData>
  <pageMargins left="0.7" right="0.7" top="0.75" bottom="0.75" header="0.3" footer="0.3"/>
  <pageSetup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37D-A713-4148-B978-5950475E99F5}">
  <sheetPr>
    <tabColor rgb="FFFF0000"/>
  </sheetPr>
  <dimension ref="A1:T27"/>
  <sheetViews>
    <sheetView workbookViewId="0">
      <selection activeCell="H41" sqref="H41"/>
    </sheetView>
  </sheetViews>
  <sheetFormatPr defaultRowHeight="12.75" x14ac:dyDescent="0.2"/>
  <cols>
    <col min="2" max="2" width="9.140625" style="160"/>
    <col min="3" max="3" width="9.140625" style="161"/>
    <col min="5" max="5" width="9" customWidth="1"/>
    <col min="6" max="6" width="13.140625" style="136" customWidth="1"/>
    <col min="7" max="7" width="37.42578125" style="136" customWidth="1"/>
    <col min="8" max="8" width="9.140625" style="153"/>
    <col min="9" max="9" width="15" style="136" hidden="1" customWidth="1"/>
    <col min="10" max="10" width="15.140625" style="136" hidden="1" customWidth="1"/>
    <col min="11" max="11" width="11.85546875" style="136" hidden="1" customWidth="1"/>
    <col min="12" max="12" width="17.42578125" style="136" customWidth="1"/>
    <col min="13" max="13" width="1.28515625" customWidth="1"/>
    <col min="14" max="14" width="10.140625" style="2" bestFit="1" customWidth="1"/>
    <col min="15" max="16" width="9.140625" style="2"/>
    <col min="19" max="19" width="3.5703125" customWidth="1"/>
  </cols>
  <sheetData>
    <row r="1" spans="1:20" ht="18" x14ac:dyDescent="0.25">
      <c r="A1" s="5" t="s">
        <v>345</v>
      </c>
      <c r="B1" s="151"/>
      <c r="C1" s="152"/>
      <c r="D1" s="5"/>
    </row>
    <row r="3" spans="1:20" x14ac:dyDescent="0.2">
      <c r="B3" s="154" t="s">
        <v>346</v>
      </c>
      <c r="C3" s="155" t="s">
        <v>347</v>
      </c>
      <c r="D3" s="156" t="s">
        <v>348</v>
      </c>
      <c r="F3" s="157" t="s">
        <v>349</v>
      </c>
      <c r="G3" s="158" t="s">
        <v>350</v>
      </c>
      <c r="I3" s="157" t="s">
        <v>351</v>
      </c>
      <c r="J3" s="157" t="s">
        <v>352</v>
      </c>
      <c r="K3" s="157" t="s">
        <v>353</v>
      </c>
      <c r="L3" s="157" t="s">
        <v>354</v>
      </c>
      <c r="N3" s="159" t="s">
        <v>355</v>
      </c>
      <c r="O3" s="159" t="s">
        <v>356</v>
      </c>
      <c r="P3" s="159" t="s">
        <v>357</v>
      </c>
      <c r="R3" s="159" t="s">
        <v>373</v>
      </c>
    </row>
    <row r="4" spans="1:20" x14ac:dyDescent="0.2">
      <c r="G4" s="162" t="s">
        <v>358</v>
      </c>
      <c r="H4" s="163">
        <v>0.02</v>
      </c>
      <c r="N4" s="164">
        <v>0.7</v>
      </c>
      <c r="O4" s="164">
        <v>0.2</v>
      </c>
      <c r="P4" s="164">
        <v>0.1</v>
      </c>
      <c r="R4" t="s">
        <v>374</v>
      </c>
    </row>
    <row r="5" spans="1:20" x14ac:dyDescent="0.2">
      <c r="H5" s="163"/>
      <c r="N5" s="159"/>
      <c r="O5" s="159"/>
      <c r="P5" s="159"/>
    </row>
    <row r="6" spans="1:20" x14ac:dyDescent="0.2">
      <c r="A6" t="s">
        <v>359</v>
      </c>
      <c r="B6" s="160">
        <v>30</v>
      </c>
      <c r="C6" s="161">
        <v>17</v>
      </c>
      <c r="D6">
        <v>52</v>
      </c>
      <c r="F6" s="136">
        <f>B6*C6*D6</f>
        <v>26520</v>
      </c>
      <c r="H6" s="165">
        <f>$H$4</f>
        <v>0.02</v>
      </c>
      <c r="I6" s="136">
        <f>ROUND(F6*(1+H6),0)</f>
        <v>27050</v>
      </c>
      <c r="J6" s="136">
        <f>0.75*F6+0.25*I6</f>
        <v>26652.5</v>
      </c>
      <c r="K6" s="136">
        <v>1810</v>
      </c>
      <c r="L6" s="136">
        <f>ROUND(J6+K6,0)</f>
        <v>28463</v>
      </c>
      <c r="N6" s="159">
        <f>ROUND($L6*N4,0)</f>
        <v>19924</v>
      </c>
      <c r="O6" s="159">
        <f>ROUND($L6*O4,0)</f>
        <v>5693</v>
      </c>
      <c r="P6" s="159">
        <f>ROUND($L6*P4,0)</f>
        <v>2846</v>
      </c>
      <c r="R6" s="161">
        <f>L6/12</f>
        <v>2371.9166666666665</v>
      </c>
    </row>
    <row r="7" spans="1:20" x14ac:dyDescent="0.2">
      <c r="A7" t="s">
        <v>360</v>
      </c>
      <c r="B7" s="160">
        <v>20</v>
      </c>
      <c r="C7" s="161">
        <v>11</v>
      </c>
      <c r="D7">
        <v>52</v>
      </c>
      <c r="F7" s="136">
        <f>B7*C7*D7</f>
        <v>11440</v>
      </c>
      <c r="H7" s="165">
        <f>$H$4</f>
        <v>0.02</v>
      </c>
      <c r="I7" s="136">
        <f>ROUND(F7*(1+H7),0)</f>
        <v>11669</v>
      </c>
      <c r="J7" s="136">
        <f>0.75*F7+0.25*I7</f>
        <v>11497.25</v>
      </c>
      <c r="K7" s="136">
        <v>420</v>
      </c>
      <c r="L7" s="136">
        <f>ROUND(J7+K7,0)</f>
        <v>11917</v>
      </c>
      <c r="R7" s="161">
        <f>L7/12</f>
        <v>993.08333333333337</v>
      </c>
    </row>
    <row r="8" spans="1:20" x14ac:dyDescent="0.2">
      <c r="A8" t="s">
        <v>361</v>
      </c>
      <c r="B8" s="160">
        <v>12</v>
      </c>
      <c r="C8" s="161">
        <v>12</v>
      </c>
      <c r="D8">
        <v>52</v>
      </c>
      <c r="F8" s="136">
        <f>B8*C8*D8</f>
        <v>7488</v>
      </c>
      <c r="H8" s="165">
        <f>$H$4</f>
        <v>0.02</v>
      </c>
      <c r="I8" s="136">
        <f>ROUND(F8*(1+H8),0)</f>
        <v>7638</v>
      </c>
      <c r="J8" s="136">
        <f>0.75*F8+0.25*I8</f>
        <v>7525.5</v>
      </c>
      <c r="L8" s="136">
        <f>ROUND(J8+K8,0)</f>
        <v>7526</v>
      </c>
      <c r="R8" s="161">
        <f>L8/12</f>
        <v>627.16666666666663</v>
      </c>
    </row>
    <row r="9" spans="1:20" x14ac:dyDescent="0.2">
      <c r="A9" t="s">
        <v>362</v>
      </c>
      <c r="B9" s="160">
        <v>15</v>
      </c>
      <c r="C9" s="161">
        <v>9.5</v>
      </c>
      <c r="D9">
        <v>52</v>
      </c>
      <c r="F9" s="136">
        <f>B9*C9*D9</f>
        <v>7410</v>
      </c>
      <c r="G9" s="136" t="s">
        <v>363</v>
      </c>
      <c r="H9" s="163">
        <f>I9/F9-1</f>
        <v>-5.2631578947368474E-2</v>
      </c>
      <c r="I9" s="136">
        <v>7020</v>
      </c>
      <c r="J9" s="136">
        <f>0.75*F9+0.25*I9</f>
        <v>7312.5</v>
      </c>
      <c r="L9" s="136">
        <f>ROUND(J9+K9,0)</f>
        <v>7313</v>
      </c>
      <c r="R9" s="161">
        <f>L9/12</f>
        <v>609.41666666666663</v>
      </c>
    </row>
    <row r="10" spans="1:20" x14ac:dyDescent="0.2">
      <c r="F10" s="166">
        <f>SUM(F6:F9)</f>
        <v>52858</v>
      </c>
      <c r="I10" s="166">
        <f>SUM(I6:I9)</f>
        <v>53377</v>
      </c>
      <c r="J10" s="166">
        <f>SUM(J6:J9)</f>
        <v>52987.75</v>
      </c>
      <c r="K10" s="166">
        <f>SUM(K6:K9)</f>
        <v>2230</v>
      </c>
      <c r="L10" s="166">
        <f>SUM(L6:L9)</f>
        <v>55219</v>
      </c>
    </row>
    <row r="12" spans="1:20" x14ac:dyDescent="0.2">
      <c r="A12" t="s">
        <v>364</v>
      </c>
      <c r="B12" s="160">
        <v>6.5</v>
      </c>
      <c r="C12" s="161">
        <v>14.5</v>
      </c>
      <c r="D12">
        <v>52</v>
      </c>
      <c r="F12" s="136">
        <f>B12*C12*D12</f>
        <v>4901</v>
      </c>
      <c r="G12" s="136" t="s">
        <v>365</v>
      </c>
      <c r="H12" s="163">
        <f>I12/F12-1</f>
        <v>3.4482758620689724E-2</v>
      </c>
      <c r="I12" s="136">
        <v>5070</v>
      </c>
      <c r="J12" s="136">
        <f>0.75*F12+0.25*I12</f>
        <v>4943.25</v>
      </c>
      <c r="L12" s="136">
        <f>ROUND(J12+K12,0)</f>
        <v>4943</v>
      </c>
      <c r="R12" s="161">
        <f>L12/12</f>
        <v>411.91666666666669</v>
      </c>
    </row>
    <row r="13" spans="1:20" x14ac:dyDescent="0.2">
      <c r="A13" t="s">
        <v>366</v>
      </c>
      <c r="B13" s="160">
        <v>9.5</v>
      </c>
      <c r="C13" s="161">
        <v>12</v>
      </c>
      <c r="D13">
        <v>39</v>
      </c>
      <c r="F13" s="136">
        <f>B13*C13*D13</f>
        <v>4446</v>
      </c>
      <c r="H13" s="165">
        <f>$H$4</f>
        <v>0.02</v>
      </c>
      <c r="I13" s="136">
        <f>ROUND(F13*(1+H13),0)</f>
        <v>4535</v>
      </c>
      <c r="J13" s="136">
        <f>0.75*F13+0.25*I13</f>
        <v>4468.25</v>
      </c>
      <c r="L13" s="136">
        <f>ROUND(J13+K13,0)</f>
        <v>4468</v>
      </c>
      <c r="R13" s="161">
        <f>L13/12</f>
        <v>372.33333333333331</v>
      </c>
    </row>
    <row r="14" spans="1:20" x14ac:dyDescent="0.2">
      <c r="A14" t="s">
        <v>367</v>
      </c>
      <c r="B14" s="160">
        <v>3.5</v>
      </c>
      <c r="C14" s="161">
        <v>9</v>
      </c>
      <c r="D14">
        <v>39</v>
      </c>
      <c r="F14" s="136">
        <v>1365</v>
      </c>
      <c r="H14" s="165">
        <f>$H$4</f>
        <v>0.02</v>
      </c>
      <c r="I14" s="136">
        <f>ROUND(F14*(1+H14),0)</f>
        <v>1392</v>
      </c>
      <c r="J14" s="136">
        <f>0.75*F14+0.25*I14</f>
        <v>1371.75</v>
      </c>
      <c r="L14" s="136">
        <f>ROUND(J14+K14,0)</f>
        <v>1372</v>
      </c>
      <c r="R14" s="161"/>
      <c r="T14" t="s">
        <v>377</v>
      </c>
    </row>
    <row r="15" spans="1:20" x14ac:dyDescent="0.2">
      <c r="A15" t="s">
        <v>368</v>
      </c>
      <c r="B15" s="160">
        <v>3</v>
      </c>
      <c r="C15" s="161">
        <v>14</v>
      </c>
      <c r="D15">
        <v>52</v>
      </c>
      <c r="F15" s="136">
        <f>B15*C15*D15</f>
        <v>2184</v>
      </c>
      <c r="H15" s="165">
        <f>$H$4</f>
        <v>0.02</v>
      </c>
      <c r="I15" s="136">
        <f>ROUND(F15*(1+H15),0)</f>
        <v>2228</v>
      </c>
      <c r="J15" s="136">
        <f>0.75*F15+0.25*I15</f>
        <v>2195</v>
      </c>
      <c r="L15" s="136">
        <f>ROUND(J15+K15,0)</f>
        <v>2195</v>
      </c>
      <c r="R15" s="161">
        <f>L15/12</f>
        <v>182.91666666666666</v>
      </c>
    </row>
    <row r="16" spans="1:20" x14ac:dyDescent="0.2">
      <c r="A16" t="s">
        <v>369</v>
      </c>
      <c r="B16" s="160">
        <v>3</v>
      </c>
      <c r="C16" s="161">
        <v>11</v>
      </c>
      <c r="D16">
        <v>52</v>
      </c>
      <c r="F16" s="136">
        <f>B16*C16*D16</f>
        <v>1716</v>
      </c>
      <c r="G16" s="136" t="s">
        <v>370</v>
      </c>
      <c r="H16" s="163">
        <f>I16/F16-1</f>
        <v>9.0909090909090828E-2</v>
      </c>
      <c r="I16" s="136">
        <v>1872</v>
      </c>
      <c r="J16" s="136">
        <f>0.75*F16+0.25*I16</f>
        <v>1755</v>
      </c>
      <c r="L16" s="136">
        <f>ROUND(J16+K16,0)</f>
        <v>1755</v>
      </c>
      <c r="R16" s="161">
        <f>L16/12</f>
        <v>146.25</v>
      </c>
    </row>
    <row r="17" spans="6:20" x14ac:dyDescent="0.2">
      <c r="F17" s="166">
        <f>SUM(F12:F16)</f>
        <v>14612</v>
      </c>
      <c r="I17" s="166">
        <f>SUM(I12:I16)</f>
        <v>15097</v>
      </c>
      <c r="J17" s="166">
        <f>SUM(J12:J16)</f>
        <v>14733.25</v>
      </c>
      <c r="K17" s="166">
        <f>SUM(K12:K16)</f>
        <v>0</v>
      </c>
      <c r="L17" s="166">
        <f>SUM(L12:L16)</f>
        <v>14733</v>
      </c>
    </row>
    <row r="19" spans="6:20" ht="13.5" thickBot="1" x14ac:dyDescent="0.25">
      <c r="F19" s="167">
        <f>F10+F17</f>
        <v>67470</v>
      </c>
      <c r="H19" s="153">
        <f>I19/F19-1</f>
        <v>1.4880687713057617E-2</v>
      </c>
      <c r="I19" s="167">
        <f>I10+I17</f>
        <v>68474</v>
      </c>
      <c r="J19" s="167">
        <f>J10+J17</f>
        <v>67721</v>
      </c>
      <c r="K19" s="167">
        <f>K10+K17</f>
        <v>2230</v>
      </c>
      <c r="L19" s="167">
        <f>L10+L17</f>
        <v>69952</v>
      </c>
      <c r="R19">
        <v>170.12</v>
      </c>
      <c r="T19" t="s">
        <v>375</v>
      </c>
    </row>
    <row r="20" spans="6:20" ht="13.5" thickTop="1" x14ac:dyDescent="0.2">
      <c r="R20">
        <v>62.6</v>
      </c>
      <c r="T20" t="s">
        <v>376</v>
      </c>
    </row>
    <row r="22" spans="6:20" x14ac:dyDescent="0.2">
      <c r="K22" s="168" t="s">
        <v>371</v>
      </c>
      <c r="R22" s="161">
        <f>SUM(R6:R21)</f>
        <v>5947.72</v>
      </c>
    </row>
    <row r="24" spans="6:20" x14ac:dyDescent="0.2">
      <c r="K24" s="136" t="s">
        <v>372</v>
      </c>
      <c r="L24" s="136">
        <f>1244.74+(170.12*6)+(62.6*6)</f>
        <v>2641.06</v>
      </c>
    </row>
    <row r="27" spans="6:20" x14ac:dyDescent="0.2">
      <c r="K27" s="136" t="s">
        <v>302</v>
      </c>
      <c r="L27" s="169">
        <f>L19+L24</f>
        <v>72593.06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7AA6-0A08-4D15-B0AE-19181B2CFFBC}">
  <sheetPr>
    <tabColor rgb="FFFF0000"/>
    <pageSetUpPr fitToPage="1"/>
  </sheetPr>
  <dimension ref="A3:L33"/>
  <sheetViews>
    <sheetView workbookViewId="0">
      <selection activeCell="T16" sqref="T16"/>
    </sheetView>
  </sheetViews>
  <sheetFormatPr defaultRowHeight="14.25" customHeight="1" x14ac:dyDescent="0.2"/>
  <cols>
    <col min="1" max="1" width="57.42578125" bestFit="1" customWidth="1"/>
    <col min="2" max="2" width="11.140625" bestFit="1" customWidth="1"/>
    <col min="10" max="10" width="12" bestFit="1" customWidth="1"/>
    <col min="11" max="11" width="1.7109375" customWidth="1"/>
  </cols>
  <sheetData>
    <row r="3" spans="1:12" ht="14.25" customHeight="1" x14ac:dyDescent="0.2">
      <c r="B3" t="s">
        <v>340</v>
      </c>
    </row>
    <row r="4" spans="1:12" ht="14.25" customHeight="1" x14ac:dyDescent="0.2">
      <c r="A4" s="8" t="s">
        <v>3</v>
      </c>
      <c r="B4" t="s">
        <v>341</v>
      </c>
      <c r="C4" t="s">
        <v>342</v>
      </c>
      <c r="D4" t="s">
        <v>342</v>
      </c>
      <c r="E4" t="s">
        <v>342</v>
      </c>
      <c r="F4" t="s">
        <v>342</v>
      </c>
      <c r="G4" t="s">
        <v>342</v>
      </c>
      <c r="H4" t="s">
        <v>342</v>
      </c>
      <c r="J4" t="s">
        <v>343</v>
      </c>
      <c r="L4" t="s">
        <v>344</v>
      </c>
    </row>
    <row r="5" spans="1:12" ht="14.25" customHeight="1" x14ac:dyDescent="0.2">
      <c r="A5" s="6"/>
      <c r="B5" s="4" t="s">
        <v>333</v>
      </c>
      <c r="C5" s="4" t="s">
        <v>334</v>
      </c>
      <c r="D5" s="4" t="s">
        <v>335</v>
      </c>
      <c r="E5" s="4" t="s">
        <v>336</v>
      </c>
      <c r="F5" s="4" t="s">
        <v>337</v>
      </c>
      <c r="G5" s="4" t="s">
        <v>338</v>
      </c>
      <c r="H5" s="4" t="s">
        <v>339</v>
      </c>
    </row>
    <row r="6" spans="1:12" ht="14.25" customHeight="1" x14ac:dyDescent="0.2">
      <c r="A6" s="9" t="s">
        <v>24</v>
      </c>
      <c r="B6">
        <v>35806.100000000006</v>
      </c>
      <c r="C6">
        <v>5500</v>
      </c>
      <c r="D6">
        <v>5500</v>
      </c>
      <c r="E6">
        <v>5500</v>
      </c>
      <c r="F6">
        <v>5500</v>
      </c>
      <c r="G6">
        <v>5500</v>
      </c>
      <c r="H6">
        <v>5500</v>
      </c>
      <c r="J6">
        <f t="shared" ref="J6:J33" si="0">SUM(B6:H6)</f>
        <v>68806.100000000006</v>
      </c>
      <c r="L6">
        <v>67000</v>
      </c>
    </row>
    <row r="7" spans="1:12" ht="14.25" customHeight="1" x14ac:dyDescent="0.2">
      <c r="A7" s="9" t="s">
        <v>25</v>
      </c>
      <c r="B7">
        <v>9120.81</v>
      </c>
      <c r="C7">
        <v>1500</v>
      </c>
      <c r="D7">
        <v>1500</v>
      </c>
      <c r="E7">
        <v>1500</v>
      </c>
      <c r="F7">
        <v>1500</v>
      </c>
      <c r="G7">
        <v>1500</v>
      </c>
      <c r="H7">
        <v>1500</v>
      </c>
      <c r="J7">
        <f t="shared" si="0"/>
        <v>18120.809999999998</v>
      </c>
      <c r="L7">
        <v>18422</v>
      </c>
    </row>
    <row r="8" spans="1:12" ht="14.25" customHeight="1" x14ac:dyDescent="0.2">
      <c r="A8" s="9" t="s">
        <v>166</v>
      </c>
      <c r="B8">
        <v>240</v>
      </c>
      <c r="C8">
        <v>130</v>
      </c>
      <c r="D8">
        <v>130</v>
      </c>
      <c r="E8">
        <v>130</v>
      </c>
      <c r="F8">
        <v>130</v>
      </c>
      <c r="G8">
        <v>130</v>
      </c>
      <c r="H8">
        <v>130</v>
      </c>
      <c r="J8">
        <f t="shared" si="0"/>
        <v>1020</v>
      </c>
      <c r="L8">
        <v>1000</v>
      </c>
    </row>
    <row r="9" spans="1:12" ht="14.25" customHeight="1" x14ac:dyDescent="0.2">
      <c r="A9" s="9" t="s">
        <v>26</v>
      </c>
      <c r="B9">
        <v>1036.6199999999999</v>
      </c>
      <c r="C9">
        <v>350</v>
      </c>
      <c r="D9">
        <v>350</v>
      </c>
      <c r="E9">
        <v>350</v>
      </c>
      <c r="F9">
        <v>350</v>
      </c>
      <c r="G9">
        <v>350</v>
      </c>
      <c r="H9">
        <v>350</v>
      </c>
      <c r="J9">
        <f t="shared" si="0"/>
        <v>3136.62</v>
      </c>
      <c r="L9">
        <v>3150</v>
      </c>
    </row>
    <row r="10" spans="1:12" ht="14.25" customHeight="1" x14ac:dyDescent="0.2">
      <c r="A10" s="9" t="s">
        <v>27</v>
      </c>
      <c r="B10">
        <v>1665.68</v>
      </c>
      <c r="C10">
        <v>550</v>
      </c>
      <c r="D10">
        <v>550</v>
      </c>
      <c r="E10">
        <v>550</v>
      </c>
      <c r="F10">
        <v>550</v>
      </c>
      <c r="G10">
        <v>550</v>
      </c>
      <c r="H10">
        <v>550</v>
      </c>
      <c r="J10">
        <f t="shared" si="0"/>
        <v>4965.68</v>
      </c>
      <c r="L10">
        <v>5000</v>
      </c>
    </row>
    <row r="11" spans="1:12" ht="14.25" customHeight="1" x14ac:dyDescent="0.2">
      <c r="A11" s="9" t="s">
        <v>28</v>
      </c>
      <c r="B11">
        <v>0</v>
      </c>
      <c r="J11">
        <f t="shared" si="0"/>
        <v>0</v>
      </c>
      <c r="L11">
        <v>60</v>
      </c>
    </row>
    <row r="12" spans="1:12" ht="14.25" customHeight="1" x14ac:dyDescent="0.2">
      <c r="A12" s="9"/>
      <c r="J12">
        <f t="shared" si="0"/>
        <v>0</v>
      </c>
    </row>
    <row r="13" spans="1:12" ht="14.25" customHeight="1" thickBot="1" x14ac:dyDescent="0.25">
      <c r="A13" s="9"/>
      <c r="B13" s="170">
        <f>SUM(B6:B11)</f>
        <v>47869.210000000006</v>
      </c>
      <c r="C13" s="170">
        <f t="shared" ref="C13:H13" si="1">SUM(C6:C11)</f>
        <v>8030</v>
      </c>
      <c r="D13" s="170">
        <f t="shared" si="1"/>
        <v>8030</v>
      </c>
      <c r="E13" s="170">
        <f t="shared" si="1"/>
        <v>8030</v>
      </c>
      <c r="F13" s="170">
        <f t="shared" si="1"/>
        <v>8030</v>
      </c>
      <c r="G13" s="170">
        <f t="shared" si="1"/>
        <v>8030</v>
      </c>
      <c r="H13" s="170">
        <f t="shared" si="1"/>
        <v>8030</v>
      </c>
      <c r="I13" s="170"/>
      <c r="J13" s="170">
        <f t="shared" si="0"/>
        <v>96049.21</v>
      </c>
      <c r="K13" s="170"/>
      <c r="L13" s="170">
        <v>94632</v>
      </c>
    </row>
    <row r="14" spans="1:12" ht="14.25" customHeight="1" thickTop="1" x14ac:dyDescent="0.2">
      <c r="A14" s="9"/>
      <c r="J14">
        <f t="shared" si="0"/>
        <v>0</v>
      </c>
    </row>
    <row r="15" spans="1:12" ht="14.25" customHeight="1" x14ac:dyDescent="0.2">
      <c r="A15" s="12" t="s">
        <v>4</v>
      </c>
      <c r="J15">
        <f t="shared" si="0"/>
        <v>0</v>
      </c>
    </row>
    <row r="16" spans="1:12" ht="14.25" customHeight="1" x14ac:dyDescent="0.2">
      <c r="A16" s="9"/>
      <c r="J16">
        <f t="shared" si="0"/>
        <v>0</v>
      </c>
    </row>
    <row r="17" spans="1:12" ht="14.25" customHeight="1" x14ac:dyDescent="0.2">
      <c r="A17" s="9" t="s">
        <v>29</v>
      </c>
      <c r="B17">
        <v>0</v>
      </c>
      <c r="J17">
        <f t="shared" si="0"/>
        <v>0</v>
      </c>
    </row>
    <row r="18" spans="1:12" ht="14.25" customHeight="1" x14ac:dyDescent="0.2">
      <c r="A18" s="9" t="s">
        <v>30</v>
      </c>
      <c r="B18">
        <v>33938.33</v>
      </c>
      <c r="C18">
        <v>5947</v>
      </c>
      <c r="D18">
        <v>5947</v>
      </c>
      <c r="E18">
        <v>5947</v>
      </c>
      <c r="F18">
        <v>5947</v>
      </c>
      <c r="G18">
        <v>5947</v>
      </c>
      <c r="H18">
        <v>5947</v>
      </c>
      <c r="J18">
        <f t="shared" si="0"/>
        <v>69620.33</v>
      </c>
      <c r="L18">
        <v>60629</v>
      </c>
    </row>
    <row r="19" spans="1:12" ht="14.25" customHeight="1" x14ac:dyDescent="0.2">
      <c r="A19" s="9" t="s">
        <v>31</v>
      </c>
      <c r="B19">
        <v>6878.1</v>
      </c>
      <c r="C19">
        <v>1300</v>
      </c>
      <c r="D19">
        <v>1300</v>
      </c>
      <c r="E19">
        <v>1300</v>
      </c>
      <c r="F19">
        <v>1300</v>
      </c>
      <c r="G19">
        <v>1300</v>
      </c>
      <c r="H19">
        <v>1300</v>
      </c>
      <c r="J19">
        <f t="shared" si="0"/>
        <v>14678.1</v>
      </c>
      <c r="L19">
        <v>14500</v>
      </c>
    </row>
    <row r="20" spans="1:12" ht="14.25" customHeight="1" x14ac:dyDescent="0.2">
      <c r="A20" s="9" t="s">
        <v>32</v>
      </c>
      <c r="B20">
        <v>9152.2899999999972</v>
      </c>
      <c r="C20">
        <v>350</v>
      </c>
      <c r="D20">
        <v>350</v>
      </c>
      <c r="E20">
        <v>350</v>
      </c>
      <c r="F20">
        <v>350</v>
      </c>
      <c r="G20">
        <v>350</v>
      </c>
      <c r="H20">
        <v>350</v>
      </c>
      <c r="J20">
        <f t="shared" si="0"/>
        <v>11252.289999999997</v>
      </c>
      <c r="L20">
        <v>11000</v>
      </c>
    </row>
    <row r="21" spans="1:12" ht="14.25" customHeight="1" x14ac:dyDescent="0.2">
      <c r="A21" s="9" t="s">
        <v>33</v>
      </c>
      <c r="B21">
        <v>1370.1799999999998</v>
      </c>
      <c r="C21">
        <v>780</v>
      </c>
      <c r="D21">
        <v>780</v>
      </c>
      <c r="E21">
        <v>780</v>
      </c>
      <c r="F21">
        <v>780</v>
      </c>
      <c r="G21">
        <v>780</v>
      </c>
      <c r="H21">
        <v>780</v>
      </c>
      <c r="J21">
        <f t="shared" si="0"/>
        <v>6050.18</v>
      </c>
      <c r="L21">
        <v>6000</v>
      </c>
    </row>
    <row r="22" spans="1:12" ht="14.25" customHeight="1" x14ac:dyDescent="0.2">
      <c r="A22" s="9" t="s">
        <v>5</v>
      </c>
      <c r="B22">
        <v>2996.25</v>
      </c>
      <c r="C22">
        <v>160</v>
      </c>
      <c r="D22">
        <v>160</v>
      </c>
      <c r="E22">
        <v>160</v>
      </c>
      <c r="F22">
        <v>160</v>
      </c>
      <c r="G22">
        <v>160</v>
      </c>
      <c r="H22">
        <v>160</v>
      </c>
      <c r="J22">
        <f t="shared" si="0"/>
        <v>3956.25</v>
      </c>
      <c r="L22">
        <v>4000</v>
      </c>
    </row>
    <row r="23" spans="1:12" ht="14.25" customHeight="1" x14ac:dyDescent="0.2">
      <c r="A23" s="9" t="s">
        <v>34</v>
      </c>
      <c r="B23">
        <v>312.59000000000003</v>
      </c>
      <c r="C23">
        <v>200</v>
      </c>
      <c r="D23">
        <v>200</v>
      </c>
      <c r="E23">
        <v>200</v>
      </c>
      <c r="F23">
        <v>200</v>
      </c>
      <c r="G23">
        <v>200</v>
      </c>
      <c r="H23">
        <v>200</v>
      </c>
      <c r="J23">
        <f t="shared" si="0"/>
        <v>1512.5900000000001</v>
      </c>
      <c r="L23">
        <v>1450</v>
      </c>
    </row>
    <row r="24" spans="1:12" ht="14.25" customHeight="1" x14ac:dyDescent="0.2">
      <c r="A24" s="9" t="s">
        <v>35</v>
      </c>
      <c r="B24">
        <v>2160.9</v>
      </c>
      <c r="C24">
        <v>230</v>
      </c>
      <c r="D24">
        <v>230</v>
      </c>
      <c r="E24">
        <v>230</v>
      </c>
      <c r="F24">
        <v>230</v>
      </c>
      <c r="G24">
        <v>230</v>
      </c>
      <c r="H24">
        <v>230</v>
      </c>
      <c r="I24" t="s">
        <v>362</v>
      </c>
      <c r="J24">
        <f t="shared" si="0"/>
        <v>3540.9</v>
      </c>
      <c r="L24">
        <v>2000</v>
      </c>
    </row>
    <row r="25" spans="1:12" ht="14.25" customHeight="1" x14ac:dyDescent="0.2">
      <c r="A25" s="9" t="s">
        <v>36</v>
      </c>
      <c r="B25">
        <v>0</v>
      </c>
      <c r="J25">
        <f t="shared" si="0"/>
        <v>0</v>
      </c>
      <c r="L25">
        <v>3000</v>
      </c>
    </row>
    <row r="26" spans="1:12" ht="14.25" customHeight="1" x14ac:dyDescent="0.2">
      <c r="A26" s="9" t="s">
        <v>37</v>
      </c>
      <c r="B26">
        <v>-58</v>
      </c>
      <c r="C26">
        <v>130</v>
      </c>
      <c r="D26">
        <v>130</v>
      </c>
      <c r="E26">
        <v>130</v>
      </c>
      <c r="F26">
        <v>130</v>
      </c>
      <c r="G26">
        <v>130</v>
      </c>
      <c r="H26">
        <v>130</v>
      </c>
      <c r="J26">
        <f t="shared" si="0"/>
        <v>722</v>
      </c>
      <c r="L26">
        <v>700</v>
      </c>
    </row>
    <row r="27" spans="1:12" ht="14.25" customHeight="1" x14ac:dyDescent="0.2">
      <c r="A27" s="9" t="s">
        <v>260</v>
      </c>
      <c r="B27">
        <v>60</v>
      </c>
      <c r="C27">
        <v>10</v>
      </c>
      <c r="D27">
        <v>10</v>
      </c>
      <c r="E27">
        <v>10</v>
      </c>
      <c r="F27">
        <v>10</v>
      </c>
      <c r="G27">
        <v>10</v>
      </c>
      <c r="H27">
        <v>10</v>
      </c>
      <c r="J27">
        <f t="shared" si="0"/>
        <v>120</v>
      </c>
      <c r="L27">
        <v>0</v>
      </c>
    </row>
    <row r="28" spans="1:12" ht="14.25" customHeight="1" x14ac:dyDescent="0.2">
      <c r="A28" s="9" t="s">
        <v>212</v>
      </c>
      <c r="B28">
        <v>0</v>
      </c>
      <c r="J28">
        <f t="shared" si="0"/>
        <v>0</v>
      </c>
      <c r="L28">
        <v>0</v>
      </c>
    </row>
    <row r="29" spans="1:12" ht="14.25" customHeight="1" x14ac:dyDescent="0.2">
      <c r="A29" s="9"/>
      <c r="J29">
        <f t="shared" si="0"/>
        <v>0</v>
      </c>
    </row>
    <row r="30" spans="1:12" ht="14.25" customHeight="1" thickBot="1" x14ac:dyDescent="0.25">
      <c r="A30" s="9" t="s">
        <v>38</v>
      </c>
      <c r="B30" s="170">
        <f>SUM(B17:B29)</f>
        <v>56810.64</v>
      </c>
      <c r="C30" s="170">
        <f t="shared" ref="C30:H30" si="2">SUM(C17:C29)</f>
        <v>9107</v>
      </c>
      <c r="D30" s="170">
        <f t="shared" si="2"/>
        <v>9107</v>
      </c>
      <c r="E30" s="170">
        <f t="shared" si="2"/>
        <v>9107</v>
      </c>
      <c r="F30" s="170">
        <f t="shared" si="2"/>
        <v>9107</v>
      </c>
      <c r="G30" s="170">
        <f t="shared" si="2"/>
        <v>9107</v>
      </c>
      <c r="H30" s="170">
        <f t="shared" si="2"/>
        <v>9107</v>
      </c>
      <c r="I30" s="170"/>
      <c r="J30" s="170">
        <f t="shared" si="0"/>
        <v>111452.64</v>
      </c>
      <c r="K30" s="170"/>
      <c r="L30" s="170">
        <v>103279</v>
      </c>
    </row>
    <row r="31" spans="1:12" ht="14.25" customHeight="1" thickTop="1" x14ac:dyDescent="0.2">
      <c r="A31" s="9"/>
      <c r="J31">
        <f t="shared" si="0"/>
        <v>0</v>
      </c>
    </row>
    <row r="32" spans="1:12" ht="14.25" customHeight="1" thickBot="1" x14ac:dyDescent="0.25">
      <c r="A32" s="12" t="s">
        <v>39</v>
      </c>
      <c r="B32" s="171">
        <f>B13-B30</f>
        <v>-8941.429999999993</v>
      </c>
      <c r="C32" s="171">
        <f t="shared" ref="C32:I32" si="3">C13-C30</f>
        <v>-1077</v>
      </c>
      <c r="D32" s="171">
        <f t="shared" si="3"/>
        <v>-1077</v>
      </c>
      <c r="E32" s="171">
        <f t="shared" si="3"/>
        <v>-1077</v>
      </c>
      <c r="F32" s="171">
        <f t="shared" si="3"/>
        <v>-1077</v>
      </c>
      <c r="G32" s="171">
        <f t="shared" si="3"/>
        <v>-1077</v>
      </c>
      <c r="H32" s="171">
        <f t="shared" si="3"/>
        <v>-1077</v>
      </c>
      <c r="I32" s="171">
        <f t="shared" si="3"/>
        <v>0</v>
      </c>
      <c r="J32" s="171">
        <f t="shared" si="0"/>
        <v>-15403.429999999993</v>
      </c>
      <c r="K32" s="171"/>
      <c r="L32" s="171">
        <v>-8647</v>
      </c>
    </row>
    <row r="33" spans="1:10" ht="14.25" customHeight="1" thickTop="1" x14ac:dyDescent="0.2">
      <c r="A33" s="6"/>
      <c r="J33">
        <f t="shared" si="0"/>
        <v>0</v>
      </c>
    </row>
  </sheetData>
  <phoneticPr fontId="7" type="noConversion"/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76"/>
  <sheetViews>
    <sheetView topLeftCell="A14" zoomScaleNormal="100" workbookViewId="0">
      <selection activeCell="R8" sqref="R8"/>
    </sheetView>
  </sheetViews>
  <sheetFormatPr defaultRowHeight="12.75" x14ac:dyDescent="0.2"/>
  <cols>
    <col min="1" max="1" width="23.7109375" customWidth="1"/>
    <col min="2" max="5" width="8.5703125" customWidth="1"/>
    <col min="6" max="6" width="8.5703125" hidden="1" customWidth="1"/>
    <col min="7" max="7" width="11.28515625" customWidth="1"/>
    <col min="8" max="8" width="8.5703125" customWidth="1"/>
    <col min="9" max="9" width="3" customWidth="1"/>
    <col min="10" max="11" width="8.5703125" hidden="1" customWidth="1"/>
    <col min="12" max="12" width="1.85546875" customWidth="1"/>
    <col min="13" max="13" width="8.5703125" hidden="1" customWidth="1"/>
    <col min="14" max="14" width="9.85546875" hidden="1" customWidth="1"/>
    <col min="15" max="15" width="2.85546875" hidden="1" customWidth="1"/>
    <col min="16" max="16" width="8.5703125" hidden="1" customWidth="1"/>
    <col min="17" max="17" width="26.140625" bestFit="1" customWidth="1"/>
    <col min="18" max="18" width="14.28515625" customWidth="1"/>
    <col min="19" max="19" width="10.140625" customWidth="1"/>
    <col min="20" max="20" width="12" customWidth="1"/>
    <col min="21" max="21" width="11" customWidth="1"/>
  </cols>
  <sheetData>
    <row r="1" spans="1:18" ht="18" x14ac:dyDescent="0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172"/>
    </row>
    <row r="2" spans="1:18" ht="18" x14ac:dyDescent="0.25">
      <c r="A2" s="281" t="s">
        <v>21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172"/>
    </row>
    <row r="3" spans="1:18" ht="18" x14ac:dyDescent="0.25">
      <c r="A3" s="290" t="s">
        <v>22</v>
      </c>
      <c r="B3" s="291"/>
      <c r="C3" s="291"/>
      <c r="D3" s="41">
        <f>Info!C2</f>
        <v>45199</v>
      </c>
      <c r="E3" s="41"/>
      <c r="F3" s="41"/>
      <c r="G3" s="269"/>
      <c r="H3" s="150"/>
      <c r="I3" s="150"/>
      <c r="J3" s="150"/>
      <c r="K3" s="150"/>
      <c r="L3" s="5"/>
      <c r="M3" s="5"/>
      <c r="N3" t="s">
        <v>442</v>
      </c>
    </row>
    <row r="4" spans="1:18" ht="18" x14ac:dyDescent="0.25">
      <c r="A4" s="5"/>
      <c r="B4" s="30"/>
      <c r="C4" s="30"/>
      <c r="D4" s="41"/>
      <c r="E4" s="41"/>
      <c r="F4" s="41"/>
      <c r="G4" s="41"/>
      <c r="H4" s="150"/>
      <c r="I4" s="150"/>
      <c r="J4" s="150"/>
      <c r="K4" s="150"/>
      <c r="L4" s="5"/>
      <c r="M4" s="5"/>
    </row>
    <row r="5" spans="1:18" x14ac:dyDescent="0.2">
      <c r="B5" s="283" t="s">
        <v>217</v>
      </c>
      <c r="C5" s="283"/>
      <c r="D5" s="283"/>
      <c r="E5" s="283"/>
      <c r="F5" s="283"/>
      <c r="G5" s="283"/>
      <c r="H5" s="283"/>
      <c r="I5" s="181"/>
      <c r="J5" s="285" t="s">
        <v>380</v>
      </c>
      <c r="K5" s="286" t="s">
        <v>435</v>
      </c>
      <c r="L5" s="4"/>
      <c r="M5" s="280" t="s">
        <v>383</v>
      </c>
      <c r="N5" s="284"/>
      <c r="O5" s="209"/>
      <c r="P5" s="280" t="s">
        <v>378</v>
      </c>
    </row>
    <row r="6" spans="1:18" ht="33.75" customHeight="1" x14ac:dyDescent="0.25">
      <c r="B6" s="283"/>
      <c r="C6" s="283"/>
      <c r="D6" s="283"/>
      <c r="E6" s="283"/>
      <c r="F6" s="283"/>
      <c r="G6" s="283"/>
      <c r="H6" s="283"/>
      <c r="I6" s="181"/>
      <c r="J6" s="285"/>
      <c r="K6" s="286"/>
      <c r="L6" s="4"/>
      <c r="M6" s="284"/>
      <c r="N6" s="284"/>
      <c r="O6" s="209"/>
      <c r="P6" s="280"/>
      <c r="Q6" s="266" t="s">
        <v>176</v>
      </c>
      <c r="R6" s="267">
        <f>'Open Restricted Funds'!L42</f>
        <v>21939.270000000004</v>
      </c>
    </row>
    <row r="7" spans="1:18" ht="33.75" customHeight="1" x14ac:dyDescent="0.25">
      <c r="B7" s="287" t="s">
        <v>176</v>
      </c>
      <c r="C7" s="288"/>
      <c r="D7" s="288"/>
      <c r="E7" s="289"/>
      <c r="F7" s="270"/>
      <c r="G7" s="270" t="s">
        <v>505</v>
      </c>
      <c r="H7" s="240"/>
      <c r="I7" s="181"/>
      <c r="J7" s="242"/>
      <c r="K7" s="227"/>
      <c r="L7" s="4"/>
      <c r="M7" s="241"/>
      <c r="N7" s="241"/>
      <c r="O7" s="209"/>
      <c r="P7" s="239"/>
      <c r="Q7" s="266" t="s">
        <v>178</v>
      </c>
      <c r="R7" s="267">
        <f>E69-R6</f>
        <v>12184.970000000001</v>
      </c>
    </row>
    <row r="8" spans="1:18" ht="36" customHeight="1" x14ac:dyDescent="0.2">
      <c r="A8" s="6"/>
      <c r="B8" s="176" t="s">
        <v>445</v>
      </c>
      <c r="C8" s="176" t="s">
        <v>307</v>
      </c>
      <c r="D8" s="176" t="s">
        <v>174</v>
      </c>
      <c r="E8" s="176" t="s">
        <v>23</v>
      </c>
      <c r="F8" s="176" t="s">
        <v>384</v>
      </c>
      <c r="G8" s="176" t="s">
        <v>307</v>
      </c>
      <c r="H8" s="227" t="s">
        <v>218</v>
      </c>
      <c r="I8" s="182"/>
      <c r="J8" s="177" t="s">
        <v>218</v>
      </c>
      <c r="K8" s="177"/>
      <c r="L8" s="6"/>
      <c r="M8" s="210" t="s">
        <v>218</v>
      </c>
      <c r="N8" s="211" t="s">
        <v>219</v>
      </c>
      <c r="O8" s="212"/>
      <c r="P8" s="210" t="s">
        <v>218</v>
      </c>
    </row>
    <row r="9" spans="1:18" ht="9" customHeight="1" x14ac:dyDescent="0.2">
      <c r="A9" s="6"/>
      <c r="B9" s="175"/>
      <c r="C9" s="175"/>
      <c r="D9" s="7"/>
      <c r="E9" s="7"/>
      <c r="F9" s="7"/>
      <c r="G9" s="7"/>
      <c r="H9" s="7"/>
      <c r="I9" s="183"/>
      <c r="J9" s="7"/>
      <c r="K9" s="7"/>
      <c r="L9" s="6"/>
      <c r="M9" s="213"/>
      <c r="N9" s="214"/>
      <c r="O9" s="215"/>
      <c r="P9" s="213"/>
    </row>
    <row r="10" spans="1:18" x14ac:dyDescent="0.2">
      <c r="A10" s="8" t="s">
        <v>3</v>
      </c>
      <c r="B10" s="7" t="s">
        <v>7</v>
      </c>
      <c r="C10" s="7"/>
      <c r="D10" s="7" t="s">
        <v>7</v>
      </c>
      <c r="E10" s="7" t="s">
        <v>7</v>
      </c>
      <c r="F10" s="7"/>
      <c r="G10" s="7"/>
      <c r="H10" s="271" t="s">
        <v>7</v>
      </c>
      <c r="I10" s="183"/>
      <c r="J10" s="7" t="s">
        <v>7</v>
      </c>
      <c r="K10" s="7" t="s">
        <v>7</v>
      </c>
      <c r="L10" s="6"/>
      <c r="M10" s="213" t="s">
        <v>7</v>
      </c>
      <c r="N10" s="213" t="s">
        <v>7</v>
      </c>
      <c r="O10" s="215"/>
      <c r="P10" s="213" t="s">
        <v>7</v>
      </c>
    </row>
    <row r="11" spans="1:18" x14ac:dyDescent="0.2">
      <c r="A11" s="6"/>
      <c r="B11" s="7"/>
      <c r="C11" s="7"/>
      <c r="D11" s="7"/>
      <c r="E11" s="7"/>
      <c r="F11" s="7"/>
      <c r="G11" s="7"/>
      <c r="H11" s="271"/>
      <c r="I11" s="183"/>
      <c r="J11" s="173"/>
      <c r="K11" s="173"/>
      <c r="L11" s="6"/>
      <c r="M11" s="214"/>
      <c r="N11" s="214"/>
      <c r="O11" s="215"/>
      <c r="P11" s="214"/>
    </row>
    <row r="12" spans="1:18" ht="24" x14ac:dyDescent="0.2">
      <c r="A12" s="9" t="s">
        <v>24</v>
      </c>
      <c r="B12" s="118">
        <f>'Funds Analysis'!G22</f>
        <v>0</v>
      </c>
      <c r="C12" s="118">
        <f>'Funds Analysis'!M16</f>
        <v>250</v>
      </c>
      <c r="D12" s="118">
        <f>'Funds Analysis'!W16</f>
        <v>0</v>
      </c>
      <c r="E12" s="118">
        <f>'Funds Analysis'!N16</f>
        <v>0</v>
      </c>
      <c r="F12" s="118"/>
      <c r="G12" s="118">
        <f>'Funds Analysis'!AC16</f>
        <v>35543.140000000007</v>
      </c>
      <c r="H12" s="272">
        <f>SUM(B12:G12)</f>
        <v>35793.140000000007</v>
      </c>
      <c r="I12" s="184"/>
      <c r="J12" s="118">
        <v>0</v>
      </c>
      <c r="K12" s="118" t="s">
        <v>436</v>
      </c>
      <c r="L12" s="6"/>
      <c r="M12" s="216">
        <v>70211.026499999993</v>
      </c>
      <c r="N12" s="217">
        <f t="shared" ref="N12:N17" si="0">H12/M12</f>
        <v>0.50979371452431355</v>
      </c>
      <c r="O12" s="218"/>
      <c r="P12" s="216">
        <v>70211.026499999993</v>
      </c>
    </row>
    <row r="13" spans="1:18" x14ac:dyDescent="0.2">
      <c r="A13" s="9" t="s">
        <v>379</v>
      </c>
      <c r="B13" s="118">
        <f>'Funds Analysis'!G10</f>
        <v>1511.46</v>
      </c>
      <c r="C13" s="118">
        <f>'Funds Analysis'!M10</f>
        <v>0</v>
      </c>
      <c r="D13" s="118">
        <f>'Funds Analysis'!W10</f>
        <v>500</v>
      </c>
      <c r="E13" s="118">
        <f>'Funds Analysis'!N10</f>
        <v>556.4</v>
      </c>
      <c r="F13" s="118">
        <v>0</v>
      </c>
      <c r="G13" s="118">
        <f>'Funds Analysis'!AC10</f>
        <v>1073.4100000000001</v>
      </c>
      <c r="H13" s="272">
        <f>SUM(B13:G13)</f>
        <v>3641.2700000000004</v>
      </c>
      <c r="I13" s="184"/>
      <c r="J13" s="118" t="e">
        <f>'Funds Analysis'!#REF!</f>
        <v>#REF!</v>
      </c>
      <c r="K13" s="118" t="e">
        <f>'Funds Analysis'!#REF!</f>
        <v>#REF!</v>
      </c>
      <c r="L13" s="6"/>
      <c r="M13" s="216">
        <v>14000</v>
      </c>
      <c r="N13" s="217">
        <f t="shared" si="0"/>
        <v>0.26009071428571434</v>
      </c>
      <c r="O13" s="218"/>
      <c r="P13" s="216">
        <v>14000</v>
      </c>
    </row>
    <row r="14" spans="1:18" x14ac:dyDescent="0.2">
      <c r="A14" s="9" t="s">
        <v>166</v>
      </c>
      <c r="B14" s="118">
        <v>0</v>
      </c>
      <c r="C14" s="118" t="s">
        <v>436</v>
      </c>
      <c r="D14" s="118">
        <v>0</v>
      </c>
      <c r="E14" s="118">
        <v>0</v>
      </c>
      <c r="F14" s="118">
        <v>0</v>
      </c>
      <c r="G14" s="118">
        <v>0</v>
      </c>
      <c r="H14" s="272">
        <f>SUM(B14:G14)</f>
        <v>0</v>
      </c>
      <c r="I14" s="184"/>
      <c r="J14" s="118">
        <v>0</v>
      </c>
      <c r="K14" s="118"/>
      <c r="L14" s="6"/>
      <c r="M14" s="216">
        <v>1000</v>
      </c>
      <c r="N14" s="217">
        <f t="shared" si="0"/>
        <v>0</v>
      </c>
      <c r="O14" s="218"/>
      <c r="P14" s="216">
        <v>1000</v>
      </c>
    </row>
    <row r="15" spans="1:18" x14ac:dyDescent="0.2">
      <c r="A15" s="9" t="s">
        <v>26</v>
      </c>
      <c r="B15" s="118">
        <f>'Funds Analysis'!G23</f>
        <v>1200</v>
      </c>
      <c r="C15" s="118">
        <f>'Funds Analysis'!M23</f>
        <v>0</v>
      </c>
      <c r="D15" s="118">
        <f>'Funds Analysis'!W23</f>
        <v>675</v>
      </c>
      <c r="E15" s="118">
        <f>'Funds Analysis'!N23</f>
        <v>3000</v>
      </c>
      <c r="F15" s="118"/>
      <c r="G15" s="118">
        <f>'Funds Analysis'!AA23</f>
        <v>0</v>
      </c>
      <c r="H15" s="272">
        <f>SUM(B15:G15)</f>
        <v>4875</v>
      </c>
      <c r="I15" s="184"/>
      <c r="J15" s="118" t="e">
        <f>'Funds Analysis'!#REF!</f>
        <v>#REF!</v>
      </c>
      <c r="K15" s="118"/>
      <c r="L15" s="6"/>
      <c r="M15" s="216">
        <v>6150</v>
      </c>
      <c r="N15" s="217">
        <f t="shared" si="0"/>
        <v>0.79268292682926833</v>
      </c>
      <c r="O15" s="218"/>
      <c r="P15" s="216">
        <v>6150</v>
      </c>
    </row>
    <row r="16" spans="1:18" x14ac:dyDescent="0.2">
      <c r="A16" s="9" t="s">
        <v>27</v>
      </c>
      <c r="B16" s="118">
        <f>'Funds Analysis'!G24+'Funds Analysis'!G25+'Funds Analysis'!G26</f>
        <v>126.21</v>
      </c>
      <c r="C16" s="118">
        <f>'Funds Analysis'!M22+'Funds Analysis'!M24+'Funds Analysis'!M25+'Funds Analysis'!M26</f>
        <v>219.6</v>
      </c>
      <c r="D16" s="118">
        <f>'Funds Analysis'!W22++'Funds Analysis'!W24+'Funds Analysis'!W25+'Funds Analysis'!W26</f>
        <v>1625.9099999999999</v>
      </c>
      <c r="E16" s="118">
        <f>'Funds Analysis'!N22+'Funds Analysis'!N24+'Funds Analysis'!N25+'Funds Analysis'!N26</f>
        <v>1093.29</v>
      </c>
      <c r="F16" s="118"/>
      <c r="G16" s="118">
        <f>'Funds Analysis'!AA24+'Funds Analysis'!AA25+'Funds Analysis'!AA26+'Funds Analysis'!AA21</f>
        <v>1654.16</v>
      </c>
      <c r="H16" s="272">
        <f>SUM(B16:G16)</f>
        <v>4719.17</v>
      </c>
      <c r="I16" s="184"/>
      <c r="J16" s="118" t="s">
        <v>436</v>
      </c>
      <c r="K16" s="118"/>
      <c r="L16" s="6"/>
      <c r="M16" s="216">
        <v>7785</v>
      </c>
      <c r="N16" s="217">
        <f t="shared" si="0"/>
        <v>0.60618754014129739</v>
      </c>
      <c r="O16" s="218"/>
      <c r="P16" s="216">
        <v>7785</v>
      </c>
    </row>
    <row r="17" spans="1:21" x14ac:dyDescent="0.2">
      <c r="A17" s="9" t="s">
        <v>28</v>
      </c>
      <c r="B17" s="118">
        <v>0</v>
      </c>
      <c r="C17" s="118">
        <f>'Funds Analysis'!X94</f>
        <v>0</v>
      </c>
      <c r="D17" s="118">
        <v>0</v>
      </c>
      <c r="E17" s="118">
        <v>0</v>
      </c>
      <c r="F17" s="118"/>
      <c r="G17" s="118">
        <f>'Funds Analysis'!AC92</f>
        <v>198.25</v>
      </c>
      <c r="H17" s="272">
        <f>SUM(B17:F17)</f>
        <v>0</v>
      </c>
      <c r="I17" s="184"/>
      <c r="J17" s="118">
        <v>0</v>
      </c>
      <c r="K17" s="118"/>
      <c r="L17" s="6"/>
      <c r="M17" s="216">
        <v>60</v>
      </c>
      <c r="N17" s="217">
        <f t="shared" si="0"/>
        <v>0</v>
      </c>
      <c r="O17" s="218"/>
      <c r="P17" s="216">
        <v>60</v>
      </c>
    </row>
    <row r="18" spans="1:21" x14ac:dyDescent="0.2">
      <c r="A18" s="9"/>
      <c r="B18" s="10"/>
      <c r="C18" s="10"/>
      <c r="D18" s="10"/>
      <c r="E18" s="10"/>
      <c r="F18" s="10"/>
      <c r="G18" s="10"/>
      <c r="H18" s="273"/>
      <c r="I18" s="185"/>
      <c r="J18" s="10"/>
      <c r="K18" s="10"/>
      <c r="L18" s="6"/>
      <c r="M18" s="219"/>
      <c r="N18" s="214"/>
      <c r="O18" s="215"/>
      <c r="P18" s="219"/>
    </row>
    <row r="19" spans="1:21" x14ac:dyDescent="0.2">
      <c r="A19" s="9"/>
      <c r="B19" s="116">
        <f>SUM(B12:B18)</f>
        <v>2837.67</v>
      </c>
      <c r="C19" s="116">
        <f t="shared" ref="C19:G19" si="1">SUM(C12:C18)</f>
        <v>469.6</v>
      </c>
      <c r="D19" s="116">
        <f t="shared" si="1"/>
        <v>2800.91</v>
      </c>
      <c r="E19" s="116">
        <f t="shared" si="1"/>
        <v>4649.6900000000005</v>
      </c>
      <c r="F19" s="116">
        <f t="shared" si="1"/>
        <v>0</v>
      </c>
      <c r="G19" s="116">
        <f t="shared" si="1"/>
        <v>38468.960000000014</v>
      </c>
      <c r="H19" s="274">
        <f>SUM(H12:H18)</f>
        <v>49028.58</v>
      </c>
      <c r="I19" s="186"/>
      <c r="J19" s="174" t="e">
        <f>SUM(J12:J17)</f>
        <v>#REF!</v>
      </c>
      <c r="K19" s="174" t="e">
        <f>SUM(K12:K17)</f>
        <v>#REF!</v>
      </c>
      <c r="L19" s="6"/>
      <c r="M19" s="220">
        <f>SUM(M12:M17)</f>
        <v>99206.026499999993</v>
      </c>
      <c r="N19" s="221">
        <v>0</v>
      </c>
      <c r="O19" s="222"/>
      <c r="P19" s="220">
        <v>99206.026499999993</v>
      </c>
    </row>
    <row r="20" spans="1:21" x14ac:dyDescent="0.2">
      <c r="A20" s="9"/>
      <c r="B20" s="10"/>
      <c r="C20" s="10"/>
      <c r="D20" s="10"/>
      <c r="E20" s="10"/>
      <c r="F20" s="10"/>
      <c r="G20" s="10"/>
      <c r="H20" s="273"/>
      <c r="I20" s="185"/>
      <c r="J20" s="10"/>
      <c r="K20" s="10"/>
      <c r="L20" s="6"/>
      <c r="M20" s="219"/>
      <c r="N20" s="214"/>
      <c r="O20" s="215"/>
      <c r="P20" s="219"/>
    </row>
    <row r="21" spans="1:21" x14ac:dyDescent="0.2">
      <c r="A21" s="12" t="s">
        <v>4</v>
      </c>
      <c r="B21" s="10"/>
      <c r="C21" s="10"/>
      <c r="D21" s="10"/>
      <c r="E21" s="10"/>
      <c r="F21" s="10"/>
      <c r="G21" s="10"/>
      <c r="H21" s="273"/>
      <c r="I21" s="185"/>
      <c r="J21" s="10"/>
      <c r="K21" s="10"/>
      <c r="L21" s="6"/>
      <c r="M21" s="219"/>
      <c r="N21" s="214"/>
      <c r="O21" s="215"/>
      <c r="P21" s="219"/>
    </row>
    <row r="22" spans="1:21" x14ac:dyDescent="0.2">
      <c r="A22" s="9"/>
      <c r="B22" s="10"/>
      <c r="C22" s="10"/>
      <c r="D22" s="10"/>
      <c r="E22" s="10"/>
      <c r="F22" s="10"/>
      <c r="G22" s="10"/>
      <c r="H22" s="273"/>
      <c r="I22" s="185"/>
      <c r="J22" s="10"/>
      <c r="K22" s="10"/>
      <c r="L22" s="6"/>
      <c r="M22" s="219"/>
      <c r="N22" s="214"/>
      <c r="O22" s="215"/>
      <c r="P22" s="219"/>
    </row>
    <row r="23" spans="1:21" hidden="1" x14ac:dyDescent="0.2">
      <c r="A23" s="9" t="s">
        <v>29</v>
      </c>
      <c r="B23" s="10">
        <v>0</v>
      </c>
      <c r="C23" s="10"/>
      <c r="D23" s="10">
        <v>0</v>
      </c>
      <c r="E23" s="10">
        <f>SUM(B23:D23)</f>
        <v>0</v>
      </c>
      <c r="F23" s="10"/>
      <c r="G23" s="10"/>
      <c r="H23" s="273">
        <f>SUM(B23:D23)</f>
        <v>0</v>
      </c>
      <c r="I23" s="185"/>
      <c r="J23" s="10"/>
      <c r="K23" s="10"/>
      <c r="L23" s="6"/>
      <c r="M23" s="219"/>
      <c r="N23" s="223" t="e">
        <f>#REF!-H23</f>
        <v>#REF!</v>
      </c>
      <c r="O23" s="218"/>
      <c r="P23" s="219"/>
    </row>
    <row r="24" spans="1:21" x14ac:dyDescent="0.2">
      <c r="A24" s="9" t="s">
        <v>30</v>
      </c>
      <c r="B24" s="118">
        <f>'Funds Analysis'!G37+'Funds Analysis'!G40+'Funds Analysis'!G43</f>
        <v>1083.31</v>
      </c>
      <c r="C24" s="118">
        <f>'Funds Analysis'!M37+'Funds Analysis'!M40+'Funds Analysis'!M43</f>
        <v>468.52</v>
      </c>
      <c r="D24" s="118">
        <f>'Funds Analysis'!W37+'Funds Analysis'!W40+'Funds Analysis'!W43</f>
        <v>9939.42</v>
      </c>
      <c r="E24" s="118">
        <f>'Funds Analysis'!N37+'Funds Analysis'!N40+'Funds Analysis'!N43</f>
        <v>1548.6499999999999</v>
      </c>
      <c r="F24" s="118">
        <v>0</v>
      </c>
      <c r="G24" s="118">
        <f>'Funds Analysis'!AC37+'Funds Analysis'!AC40+'Funds Analysis'!AC43</f>
        <v>31546.850000000002</v>
      </c>
      <c r="H24" s="272">
        <f t="shared" ref="H24:H34" si="2">SUM(B24:G24)</f>
        <v>44586.75</v>
      </c>
      <c r="I24" s="187"/>
      <c r="J24" s="118">
        <v>0</v>
      </c>
      <c r="K24" s="118"/>
      <c r="L24" s="6"/>
      <c r="M24" s="216">
        <v>70206.91</v>
      </c>
      <c r="N24" s="217">
        <f t="shared" ref="N24:N34" si="3">IFERROR(H24/M24,0)</f>
        <v>0.63507637638517345</v>
      </c>
      <c r="O24" s="218"/>
      <c r="P24" s="216">
        <v>70206.91</v>
      </c>
      <c r="Q24" s="3"/>
    </row>
    <row r="25" spans="1:21" ht="24" x14ac:dyDescent="0.2">
      <c r="A25" s="9" t="s">
        <v>31</v>
      </c>
      <c r="B25" s="118">
        <v>0</v>
      </c>
      <c r="C25" s="118" t="s">
        <v>436</v>
      </c>
      <c r="D25" s="118">
        <v>0</v>
      </c>
      <c r="E25" s="118">
        <v>0</v>
      </c>
      <c r="F25" s="118">
        <v>0</v>
      </c>
      <c r="G25" s="118">
        <f>'Funds Analysis'!AC45+'Funds Analysis'!AC51+'Funds Analysis'!AC52</f>
        <v>8001.38</v>
      </c>
      <c r="H25" s="272">
        <f t="shared" si="2"/>
        <v>8001.38</v>
      </c>
      <c r="I25" s="184"/>
      <c r="J25" s="118">
        <v>0</v>
      </c>
      <c r="K25" s="118"/>
      <c r="L25" s="6"/>
      <c r="M25" s="216">
        <v>8200</v>
      </c>
      <c r="N25" s="217">
        <f t="shared" si="3"/>
        <v>0.97577804878048779</v>
      </c>
      <c r="O25" s="218"/>
      <c r="P25" s="216">
        <v>8200</v>
      </c>
      <c r="U25" s="145"/>
    </row>
    <row r="26" spans="1:21" ht="24" x14ac:dyDescent="0.2">
      <c r="A26" s="9" t="s">
        <v>32</v>
      </c>
      <c r="B26" s="118">
        <v>0</v>
      </c>
      <c r="C26" s="118">
        <f>'Funds Analysis'!J58</f>
        <v>364.62</v>
      </c>
      <c r="D26" s="118">
        <v>0</v>
      </c>
      <c r="E26" s="118">
        <v>0</v>
      </c>
      <c r="F26" s="118">
        <v>0</v>
      </c>
      <c r="G26" s="118">
        <f>'Funds Analysis'!AC58+'Funds Analysis'!AC59</f>
        <v>2710.69</v>
      </c>
      <c r="H26" s="272">
        <f t="shared" si="2"/>
        <v>3075.31</v>
      </c>
      <c r="I26" s="184"/>
      <c r="J26" s="118">
        <v>0</v>
      </c>
      <c r="K26" s="118"/>
      <c r="L26" s="6"/>
      <c r="M26" s="216">
        <v>6000</v>
      </c>
      <c r="N26" s="217">
        <f t="shared" si="3"/>
        <v>0.51255166666666663</v>
      </c>
      <c r="O26" s="218"/>
      <c r="P26" s="216">
        <v>6000</v>
      </c>
      <c r="U26" s="145"/>
    </row>
    <row r="27" spans="1:21" ht="36" x14ac:dyDescent="0.2">
      <c r="A27" s="9" t="s">
        <v>33</v>
      </c>
      <c r="B27" s="118">
        <v>0</v>
      </c>
      <c r="C27" s="118" t="s">
        <v>436</v>
      </c>
      <c r="D27" s="118">
        <v>0</v>
      </c>
      <c r="E27" s="118">
        <f>'Funds Analysis'!N64</f>
        <v>10.88</v>
      </c>
      <c r="F27" s="118">
        <v>0</v>
      </c>
      <c r="G27" s="118">
        <f>'Funds Analysis'!AA64</f>
        <v>394.55</v>
      </c>
      <c r="H27" s="272">
        <f t="shared" si="2"/>
        <v>405.43</v>
      </c>
      <c r="I27" s="184"/>
      <c r="J27" s="118">
        <v>0</v>
      </c>
      <c r="K27" s="118"/>
      <c r="L27" s="6"/>
      <c r="M27" s="216">
        <v>3000</v>
      </c>
      <c r="N27" s="217">
        <f t="shared" si="3"/>
        <v>0.13514333333333334</v>
      </c>
      <c r="O27" s="218"/>
      <c r="P27" s="216">
        <v>3000</v>
      </c>
    </row>
    <row r="28" spans="1:21" x14ac:dyDescent="0.2">
      <c r="A28" s="9" t="s">
        <v>5</v>
      </c>
      <c r="B28" s="118">
        <v>0</v>
      </c>
      <c r="C28" s="118">
        <f>'Funds Analysis'!M75</f>
        <v>367.8</v>
      </c>
      <c r="D28" s="118">
        <f>'Funds Analysis'!W75</f>
        <v>0</v>
      </c>
      <c r="E28" s="118">
        <f>'Funds Analysis'!N75</f>
        <v>438.26</v>
      </c>
      <c r="F28" s="118">
        <v>0</v>
      </c>
      <c r="G28" s="118">
        <f>'Funds Analysis'!AC75</f>
        <v>3622.38</v>
      </c>
      <c r="H28" s="272">
        <f t="shared" si="2"/>
        <v>4428.4400000000005</v>
      </c>
      <c r="I28" s="184"/>
      <c r="J28" s="118" t="e">
        <f>'Funds Analysis'!#REF!</f>
        <v>#REF!</v>
      </c>
      <c r="K28" s="118"/>
      <c r="L28" s="6"/>
      <c r="M28" s="216">
        <v>4000</v>
      </c>
      <c r="N28" s="217">
        <f t="shared" si="3"/>
        <v>1.10711</v>
      </c>
      <c r="O28" s="218"/>
      <c r="P28" s="216">
        <v>4000</v>
      </c>
    </row>
    <row r="29" spans="1:21" ht="24" x14ac:dyDescent="0.2">
      <c r="A29" s="9" t="s">
        <v>34</v>
      </c>
      <c r="B29" s="118">
        <v>0</v>
      </c>
      <c r="C29" s="118" t="s">
        <v>436</v>
      </c>
      <c r="D29" s="118">
        <v>0</v>
      </c>
      <c r="E29" s="118">
        <v>0</v>
      </c>
      <c r="F29" s="118">
        <v>0</v>
      </c>
      <c r="G29" s="118">
        <v>0</v>
      </c>
      <c r="H29" s="272">
        <f t="shared" si="2"/>
        <v>0</v>
      </c>
      <c r="I29" s="187"/>
      <c r="J29" s="118">
        <v>0</v>
      </c>
      <c r="K29" s="118"/>
      <c r="L29" s="6"/>
      <c r="M29" s="216">
        <v>700</v>
      </c>
      <c r="N29" s="217">
        <f t="shared" si="3"/>
        <v>0</v>
      </c>
      <c r="O29" s="218"/>
      <c r="P29" s="216">
        <v>700</v>
      </c>
    </row>
    <row r="30" spans="1:21" x14ac:dyDescent="0.2">
      <c r="A30" s="9" t="s">
        <v>35</v>
      </c>
      <c r="B30" s="118">
        <v>0</v>
      </c>
      <c r="C30" s="118" t="s">
        <v>436</v>
      </c>
      <c r="D30" s="118">
        <f>'Funds Analysis'!W81+'Funds Analysis'!W85</f>
        <v>2586.44</v>
      </c>
      <c r="E30" s="118">
        <v>0</v>
      </c>
      <c r="F30" s="118">
        <v>0</v>
      </c>
      <c r="G30" s="118"/>
      <c r="H30" s="272">
        <f t="shared" si="2"/>
        <v>2586.44</v>
      </c>
      <c r="I30" s="187"/>
      <c r="J30" s="118">
        <v>0</v>
      </c>
      <c r="K30" s="118"/>
      <c r="L30" s="6"/>
      <c r="M30" s="216">
        <v>2000</v>
      </c>
      <c r="N30" s="217">
        <f t="shared" si="3"/>
        <v>1.29322</v>
      </c>
      <c r="O30" s="218"/>
      <c r="P30" s="216">
        <v>2000</v>
      </c>
    </row>
    <row r="31" spans="1:21" x14ac:dyDescent="0.2">
      <c r="A31" s="9" t="s">
        <v>36</v>
      </c>
      <c r="B31" s="118">
        <f>'Funds Analysis'!G81+'Funds Analysis'!G85</f>
        <v>1547.6799999999996</v>
      </c>
      <c r="C31" s="118">
        <f>'Funds Analysis'!M81+'Funds Analysis'!M85</f>
        <v>471.22</v>
      </c>
      <c r="D31" s="118">
        <v>0</v>
      </c>
      <c r="E31" s="118">
        <f>'Funds Analysis'!N81+'Funds Analysis'!N85</f>
        <v>0</v>
      </c>
      <c r="F31" s="118">
        <v>0</v>
      </c>
      <c r="G31" s="118">
        <f>'Funds Analysis'!AC81+'Funds Analysis'!AC85</f>
        <v>200</v>
      </c>
      <c r="H31" s="272">
        <f t="shared" si="2"/>
        <v>2218.8999999999996</v>
      </c>
      <c r="I31" s="184"/>
      <c r="J31" s="118">
        <v>0</v>
      </c>
      <c r="K31" s="118" t="e">
        <f>'Funds Analysis'!#REF!+'Funds Analysis'!#REF!</f>
        <v>#REF!</v>
      </c>
      <c r="L31" s="6"/>
      <c r="M31" s="216">
        <v>2190</v>
      </c>
      <c r="N31" s="217">
        <f t="shared" si="3"/>
        <v>1.0131963470319634</v>
      </c>
      <c r="O31" s="218"/>
      <c r="P31" s="216">
        <v>2190</v>
      </c>
    </row>
    <row r="32" spans="1:21" x14ac:dyDescent="0.2">
      <c r="A32" s="9" t="s">
        <v>37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f>'Funds Analysis'!AC87</f>
        <v>-750</v>
      </c>
      <c r="H32" s="272">
        <f t="shared" si="2"/>
        <v>-750</v>
      </c>
      <c r="I32" s="187"/>
      <c r="J32" s="118">
        <v>0</v>
      </c>
      <c r="K32" s="118"/>
      <c r="L32" s="6"/>
      <c r="M32" s="216">
        <v>600</v>
      </c>
      <c r="N32" s="217">
        <f t="shared" si="3"/>
        <v>-1.25</v>
      </c>
      <c r="O32" s="218"/>
      <c r="P32" s="216">
        <v>600</v>
      </c>
    </row>
    <row r="33" spans="1:16" x14ac:dyDescent="0.2">
      <c r="A33" s="9" t="s">
        <v>260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/>
      <c r="H33" s="272">
        <f t="shared" si="2"/>
        <v>0</v>
      </c>
      <c r="I33" s="187"/>
      <c r="J33" s="118">
        <v>0</v>
      </c>
      <c r="K33" s="118"/>
      <c r="L33" s="6"/>
      <c r="M33" s="216">
        <v>120</v>
      </c>
      <c r="N33" s="217">
        <f t="shared" si="3"/>
        <v>0</v>
      </c>
      <c r="O33" s="218"/>
      <c r="P33" s="216">
        <v>120</v>
      </c>
    </row>
    <row r="34" spans="1:16" x14ac:dyDescent="0.2">
      <c r="A34" s="9" t="s">
        <v>212</v>
      </c>
      <c r="B34" s="118"/>
      <c r="C34" s="118">
        <f>'Funds Analysis'!M95</f>
        <v>-184.5</v>
      </c>
      <c r="D34" s="118">
        <f>'Funds Analysis'!W95</f>
        <v>-1642.48</v>
      </c>
      <c r="E34" s="118">
        <f>'Funds Analysis'!N95</f>
        <v>300</v>
      </c>
      <c r="F34" s="118">
        <v>0</v>
      </c>
      <c r="G34" s="118">
        <f>'Funds Analysis'!AC95</f>
        <v>1526.98</v>
      </c>
      <c r="H34" s="272">
        <f t="shared" si="2"/>
        <v>0</v>
      </c>
      <c r="I34" s="184"/>
      <c r="J34" s="118">
        <v>0</v>
      </c>
      <c r="K34" s="118"/>
      <c r="L34" s="6"/>
      <c r="M34" s="216">
        <v>500</v>
      </c>
      <c r="N34" s="217">
        <f t="shared" si="3"/>
        <v>0</v>
      </c>
      <c r="O34" s="218"/>
      <c r="P34" s="216">
        <v>500</v>
      </c>
    </row>
    <row r="35" spans="1:16" x14ac:dyDescent="0.2">
      <c r="A35" s="9" t="s">
        <v>213</v>
      </c>
      <c r="B35" s="118"/>
      <c r="C35" s="118"/>
      <c r="D35" s="118"/>
      <c r="E35" s="118"/>
      <c r="F35" s="118"/>
      <c r="G35" s="118"/>
      <c r="H35" s="272"/>
      <c r="I35" s="184"/>
      <c r="J35" s="118">
        <v>0</v>
      </c>
      <c r="K35" s="118"/>
      <c r="L35" s="6"/>
      <c r="M35" s="216"/>
      <c r="N35" s="217"/>
      <c r="O35" s="218"/>
      <c r="P35" s="216"/>
    </row>
    <row r="36" spans="1:16" x14ac:dyDescent="0.2">
      <c r="A36" s="9"/>
      <c r="B36" s="10"/>
      <c r="C36" s="10"/>
      <c r="D36" s="10"/>
      <c r="E36" s="10"/>
      <c r="F36" s="10"/>
      <c r="G36" s="10"/>
      <c r="H36" s="273"/>
      <c r="I36" s="185"/>
      <c r="J36" s="10"/>
      <c r="K36" s="10"/>
      <c r="L36" s="6"/>
      <c r="M36" s="219"/>
      <c r="N36" s="214"/>
      <c r="O36" s="215"/>
      <c r="P36" s="219"/>
    </row>
    <row r="37" spans="1:16" x14ac:dyDescent="0.2">
      <c r="A37" s="9" t="s">
        <v>38</v>
      </c>
      <c r="B37" s="11">
        <f>SUM(B23:B36)</f>
        <v>2630.99</v>
      </c>
      <c r="C37" s="11">
        <f>SUM(C23:C36)</f>
        <v>1487.66</v>
      </c>
      <c r="D37" s="11">
        <f>SUM(D23:D36)</f>
        <v>10883.380000000001</v>
      </c>
      <c r="E37" s="11">
        <f>SUM(E23:E36)</f>
        <v>2297.79</v>
      </c>
      <c r="F37" s="11">
        <f t="shared" ref="F37:G37" si="4">SUM(F23:F36)</f>
        <v>0</v>
      </c>
      <c r="G37" s="11">
        <f t="shared" si="4"/>
        <v>47252.830000000009</v>
      </c>
      <c r="H37" s="274">
        <f>SUM(H23:H36)</f>
        <v>64552.65</v>
      </c>
      <c r="I37" s="186"/>
      <c r="J37" s="11" t="e">
        <f>SUM(J24:J36)</f>
        <v>#REF!</v>
      </c>
      <c r="K37" s="11" t="e">
        <f>SUM(K24:K36)</f>
        <v>#REF!</v>
      </c>
      <c r="L37" s="6"/>
      <c r="M37" s="224">
        <f>SUM(M24:M36)</f>
        <v>97516.91</v>
      </c>
      <c r="N37" s="221">
        <f>IFERROR(H37/M37,0)</f>
        <v>0.66196365327818529</v>
      </c>
      <c r="O37" s="222"/>
      <c r="P37" s="224">
        <v>97516.91</v>
      </c>
    </row>
    <row r="38" spans="1:16" x14ac:dyDescent="0.2">
      <c r="A38" s="9"/>
      <c r="B38" s="10"/>
      <c r="C38" s="10"/>
      <c r="D38" s="10"/>
      <c r="E38" s="10"/>
      <c r="F38" s="10"/>
      <c r="G38" s="10"/>
      <c r="H38" s="273"/>
      <c r="I38" s="185"/>
      <c r="J38" s="10"/>
      <c r="K38" s="10"/>
      <c r="L38" s="6"/>
      <c r="M38" s="219"/>
      <c r="N38" s="214"/>
      <c r="O38" s="215"/>
      <c r="P38" s="219"/>
    </row>
    <row r="39" spans="1:16" ht="24" x14ac:dyDescent="0.2">
      <c r="A39" s="12" t="s">
        <v>39</v>
      </c>
      <c r="B39" s="14">
        <f>B19-B37</f>
        <v>206.68000000000029</v>
      </c>
      <c r="C39" s="14">
        <f>C19-C37</f>
        <v>-1018.0600000000001</v>
      </c>
      <c r="D39" s="14">
        <f>D19-D37</f>
        <v>-8082.4700000000012</v>
      </c>
      <c r="E39" s="14">
        <f>E19-E37</f>
        <v>2351.9000000000005</v>
      </c>
      <c r="F39" s="14">
        <f t="shared" ref="F39:G39" si="5">F19-F37</f>
        <v>0</v>
      </c>
      <c r="G39" s="14">
        <f t="shared" si="5"/>
        <v>-8783.8699999999953</v>
      </c>
      <c r="H39" s="273">
        <f>H19-H37</f>
        <v>-15524.07</v>
      </c>
      <c r="I39" s="186"/>
      <c r="J39" s="14" t="e">
        <f>J19-J37</f>
        <v>#REF!</v>
      </c>
      <c r="K39" s="14" t="e">
        <f>K19-K37</f>
        <v>#REF!</v>
      </c>
      <c r="L39" s="6"/>
      <c r="M39" s="225">
        <f>M19-M37</f>
        <v>1689.1164999999892</v>
      </c>
      <c r="N39" s="225"/>
      <c r="O39" s="222"/>
      <c r="P39" s="225">
        <v>1689.1164999999901</v>
      </c>
    </row>
    <row r="40" spans="1:16" x14ac:dyDescent="0.2">
      <c r="A40" s="6"/>
      <c r="B40" s="15"/>
      <c r="C40" s="188"/>
      <c r="D40" s="15"/>
      <c r="E40" s="15"/>
      <c r="F40" s="188"/>
      <c r="G40" s="188"/>
      <c r="H40" s="275"/>
      <c r="I40" s="6"/>
      <c r="J40" s="15"/>
      <c r="K40" s="188"/>
      <c r="L40" s="6"/>
      <c r="M40" s="226"/>
      <c r="N40" s="226"/>
      <c r="O40" s="215"/>
      <c r="P40" s="226"/>
    </row>
    <row r="41" spans="1:16" x14ac:dyDescent="0.2">
      <c r="D41" s="16"/>
      <c r="E41" s="16"/>
      <c r="F41" s="16"/>
      <c r="G41" s="16"/>
    </row>
    <row r="42" spans="1:16" x14ac:dyDescent="0.2">
      <c r="H42" s="179"/>
    </row>
    <row r="43" spans="1:16" x14ac:dyDescent="0.2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6" x14ac:dyDescent="0.2">
      <c r="A44" s="4" t="s">
        <v>165</v>
      </c>
      <c r="B44" s="282">
        <f>D3</f>
        <v>45199</v>
      </c>
      <c r="C44" s="282"/>
      <c r="D44" s="282"/>
      <c r="H44" s="3"/>
      <c r="I44" s="3"/>
      <c r="J44" s="3"/>
      <c r="K44" s="3"/>
    </row>
    <row r="46" spans="1:16" x14ac:dyDescent="0.2">
      <c r="B46" s="2"/>
      <c r="C46" s="2"/>
    </row>
    <row r="47" spans="1:16" x14ac:dyDescent="0.2">
      <c r="A47" t="s">
        <v>8</v>
      </c>
      <c r="E47" s="2">
        <f>'Balance Sheet'!B16</f>
        <v>5146.0999999999985</v>
      </c>
      <c r="F47" s="2"/>
      <c r="G47" s="2"/>
    </row>
    <row r="48" spans="1:16" x14ac:dyDescent="0.2">
      <c r="E48" s="2"/>
      <c r="F48" s="2"/>
      <c r="G48" s="2"/>
    </row>
    <row r="49" spans="1:7" x14ac:dyDescent="0.2">
      <c r="A49" t="s">
        <v>9</v>
      </c>
      <c r="E49" s="2">
        <f>'Balance Sheet'!B32+'Balance Sheet'!B38</f>
        <v>5382.46</v>
      </c>
      <c r="F49" s="2"/>
      <c r="G49" s="2"/>
    </row>
    <row r="50" spans="1:7" x14ac:dyDescent="0.2">
      <c r="A50" t="s">
        <v>10</v>
      </c>
      <c r="E50" s="2">
        <f>'Balance Sheet'!B24</f>
        <v>35621.279999999999</v>
      </c>
      <c r="F50" s="2"/>
      <c r="G50" s="2"/>
    </row>
    <row r="51" spans="1:7" x14ac:dyDescent="0.2">
      <c r="E51" s="2"/>
      <c r="F51" s="2"/>
      <c r="G51" s="2"/>
    </row>
    <row r="52" spans="1:7" x14ac:dyDescent="0.2">
      <c r="A52" t="s">
        <v>11</v>
      </c>
      <c r="E52" s="94">
        <f>E49+E50</f>
        <v>41003.74</v>
      </c>
      <c r="F52" s="2"/>
      <c r="G52" s="2"/>
    </row>
    <row r="53" spans="1:7" x14ac:dyDescent="0.2">
      <c r="E53" s="2"/>
      <c r="F53" s="2"/>
      <c r="G53" s="2"/>
    </row>
    <row r="54" spans="1:7" x14ac:dyDescent="0.2">
      <c r="A54" t="s">
        <v>12</v>
      </c>
      <c r="E54" s="2">
        <f>-'Balance Sheet'!B43</f>
        <v>-1383.14</v>
      </c>
      <c r="F54" s="2"/>
      <c r="G54" s="2"/>
    </row>
    <row r="55" spans="1:7" x14ac:dyDescent="0.2">
      <c r="A55" t="s">
        <v>13</v>
      </c>
      <c r="E55" s="2">
        <f>-'Balance Sheet'!B46</f>
        <v>-10642.46</v>
      </c>
      <c r="F55" s="2"/>
      <c r="G55" s="2"/>
    </row>
    <row r="56" spans="1:7" x14ac:dyDescent="0.2">
      <c r="A56" t="s">
        <v>240</v>
      </c>
      <c r="E56" s="2">
        <f>-'Balance Sheet'!B44</f>
        <v>0</v>
      </c>
      <c r="F56" s="2"/>
      <c r="G56" s="2"/>
    </row>
    <row r="57" spans="1:7" x14ac:dyDescent="0.2">
      <c r="A57" t="s">
        <v>14</v>
      </c>
      <c r="E57" s="2">
        <f>-'Balance Sheet'!B45</f>
        <v>0</v>
      </c>
      <c r="F57" s="2"/>
      <c r="G57" s="2"/>
    </row>
    <row r="58" spans="1:7" x14ac:dyDescent="0.2">
      <c r="E58" s="2"/>
      <c r="F58" s="2"/>
      <c r="G58" s="2"/>
    </row>
    <row r="59" spans="1:7" x14ac:dyDescent="0.2">
      <c r="A59" t="s">
        <v>15</v>
      </c>
      <c r="E59" s="94">
        <f>SUM(E54:E58)</f>
        <v>-12025.599999999999</v>
      </c>
      <c r="F59" s="2"/>
      <c r="G59" s="2"/>
    </row>
    <row r="60" spans="1:7" x14ac:dyDescent="0.2">
      <c r="E60" s="2"/>
      <c r="F60" s="2"/>
      <c r="G60" s="2"/>
    </row>
    <row r="61" spans="1:7" x14ac:dyDescent="0.2">
      <c r="E61" s="2"/>
      <c r="F61" s="2"/>
      <c r="G61" s="2"/>
    </row>
    <row r="62" spans="1:7" x14ac:dyDescent="0.2">
      <c r="A62" s="4" t="s">
        <v>16</v>
      </c>
      <c r="E62" s="93">
        <f>E47+E52+E59</f>
        <v>34124.239999999998</v>
      </c>
      <c r="F62" s="189"/>
      <c r="G62" s="189"/>
    </row>
    <row r="63" spans="1:7" x14ac:dyDescent="0.2">
      <c r="E63" s="2"/>
      <c r="F63" s="2"/>
      <c r="G63" s="2"/>
    </row>
    <row r="64" spans="1:7" x14ac:dyDescent="0.2">
      <c r="A64" t="s">
        <v>17</v>
      </c>
      <c r="E64" s="2"/>
      <c r="F64" s="2"/>
      <c r="G64" s="2"/>
    </row>
    <row r="65" spans="1:16" x14ac:dyDescent="0.2">
      <c r="E65" s="2"/>
      <c r="F65" s="2"/>
      <c r="G65" s="2"/>
    </row>
    <row r="66" spans="1:16" x14ac:dyDescent="0.2">
      <c r="A66" t="s">
        <v>18</v>
      </c>
      <c r="E66" s="2">
        <f>'Balance Sheet'!B52</f>
        <v>34124.240000000005</v>
      </c>
      <c r="F66" s="2"/>
      <c r="G66" s="2"/>
    </row>
    <row r="67" spans="1:16" x14ac:dyDescent="0.2">
      <c r="A67" t="s">
        <v>19</v>
      </c>
      <c r="E67" s="2">
        <f>'Balance Sheet'!B53</f>
        <v>0</v>
      </c>
      <c r="F67" s="2"/>
      <c r="G67" s="2"/>
    </row>
    <row r="68" spans="1:16" x14ac:dyDescent="0.2">
      <c r="E68" s="2"/>
      <c r="F68" s="2"/>
      <c r="G68" s="2"/>
    </row>
    <row r="69" spans="1:16" x14ac:dyDescent="0.2">
      <c r="A69" s="4" t="s">
        <v>20</v>
      </c>
      <c r="E69" s="93">
        <f>SUM(E66:E68)</f>
        <v>34124.240000000005</v>
      </c>
      <c r="F69" s="189"/>
      <c r="G69" s="189"/>
    </row>
    <row r="70" spans="1:16" x14ac:dyDescent="0.2">
      <c r="B70" s="2"/>
      <c r="C70" s="2"/>
    </row>
    <row r="76" spans="1:16" x14ac:dyDescent="0.2">
      <c r="P76" s="2"/>
    </row>
  </sheetData>
  <sheetProtection selectLockedCells="1" selectUnlockedCells="1"/>
  <mergeCells count="10">
    <mergeCell ref="P5:P6"/>
    <mergeCell ref="A1:L1"/>
    <mergeCell ref="A2:L2"/>
    <mergeCell ref="B44:D44"/>
    <mergeCell ref="B5:H6"/>
    <mergeCell ref="M5:N6"/>
    <mergeCell ref="J5:J6"/>
    <mergeCell ref="K5:K6"/>
    <mergeCell ref="B7:E7"/>
    <mergeCell ref="A3:C3"/>
  </mergeCells>
  <pageMargins left="0.2361111111111111" right="0.2361111111111111" top="0.74791666666666667" bottom="0.74791666666666667" header="0.51180555555555551" footer="0.51180555555555551"/>
  <pageSetup paperSize="9" scale="98" firstPageNumber="0" fitToHeight="0" orientation="portrait" r:id="rId1"/>
  <headerFooter alignWithMargins="0"/>
  <rowBreaks count="1" manualBreakCount="1">
    <brk id="42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"/>
  <sheetViews>
    <sheetView workbookViewId="0">
      <selection activeCell="D45" sqref="D45"/>
    </sheetView>
  </sheetViews>
  <sheetFormatPr defaultRowHeight="12.75" x14ac:dyDescent="0.2"/>
  <sheetData>
    <row r="2" spans="1:1" x14ac:dyDescent="0.2">
      <c r="A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P87"/>
  <sheetViews>
    <sheetView tabSelected="1" topLeftCell="H1" zoomScale="115" zoomScaleNormal="115" workbookViewId="0">
      <pane ySplit="5" topLeftCell="A33" activePane="bottomLeft" state="frozen"/>
      <selection activeCell="H1" sqref="H1"/>
      <selection pane="bottomLeft" activeCell="N43" sqref="N43"/>
    </sheetView>
  </sheetViews>
  <sheetFormatPr defaultColWidth="9.140625" defaultRowHeight="15" x14ac:dyDescent="0.25"/>
  <cols>
    <col min="1" max="1" width="48.140625" style="101" hidden="1" customWidth="1"/>
    <col min="2" max="4" width="14.5703125" style="101" hidden="1" customWidth="1"/>
    <col min="5" max="5" width="7.5703125" style="101" hidden="1" customWidth="1"/>
    <col min="6" max="7" width="0" style="101" hidden="1" customWidth="1"/>
    <col min="8" max="8" width="34.140625" style="101" customWidth="1"/>
    <col min="9" max="14" width="9.140625" style="101"/>
    <col min="15" max="18" width="0" style="101" hidden="1" customWidth="1"/>
    <col min="19" max="16384" width="9.140625" style="101"/>
  </cols>
  <sheetData>
    <row r="1" spans="1:16" ht="18" x14ac:dyDescent="0.25">
      <c r="A1" s="294" t="s">
        <v>0</v>
      </c>
      <c r="B1" s="293"/>
      <c r="C1" s="293"/>
      <c r="D1" s="293"/>
    </row>
    <row r="2" spans="1:16" ht="18" x14ac:dyDescent="0.25">
      <c r="A2" s="294" t="s">
        <v>163</v>
      </c>
      <c r="B2" s="293"/>
      <c r="C2" s="293"/>
      <c r="D2" s="293"/>
      <c r="H2" s="268" t="s">
        <v>504</v>
      </c>
    </row>
    <row r="3" spans="1:16" x14ac:dyDescent="0.25">
      <c r="A3" s="295" t="s">
        <v>443</v>
      </c>
      <c r="B3" s="293"/>
      <c r="C3" s="293"/>
      <c r="D3" s="293"/>
    </row>
    <row r="5" spans="1:16" ht="35.25" thickBot="1" x14ac:dyDescent="0.3">
      <c r="A5" s="126"/>
      <c r="B5" s="125" t="s">
        <v>55</v>
      </c>
      <c r="C5" s="125" t="s">
        <v>72</v>
      </c>
      <c r="D5" s="125" t="s">
        <v>111</v>
      </c>
      <c r="E5" s="117" t="s">
        <v>241</v>
      </c>
      <c r="F5" s="117" t="s">
        <v>40</v>
      </c>
      <c r="H5" s="232" t="s">
        <v>175</v>
      </c>
      <c r="I5" s="233" t="s">
        <v>448</v>
      </c>
      <c r="J5" s="233" t="s">
        <v>55</v>
      </c>
      <c r="K5" s="233" t="s">
        <v>254</v>
      </c>
      <c r="L5" s="234" t="s">
        <v>506</v>
      </c>
      <c r="M5" s="229"/>
      <c r="N5" s="234" t="s">
        <v>502</v>
      </c>
      <c r="O5" s="234" t="s">
        <v>49</v>
      </c>
      <c r="P5" s="234" t="s">
        <v>503</v>
      </c>
    </row>
    <row r="6" spans="1:16" ht="15.75" thickTop="1" x14ac:dyDescent="0.25">
      <c r="A6" s="120" t="s">
        <v>2</v>
      </c>
      <c r="B6" s="119"/>
      <c r="C6" s="119"/>
      <c r="D6" s="123">
        <v>0</v>
      </c>
      <c r="E6"/>
      <c r="F6"/>
      <c r="H6" s="228"/>
      <c r="I6" s="236"/>
      <c r="J6" s="236"/>
      <c r="K6" s="236"/>
      <c r="L6" s="237"/>
      <c r="M6" s="231"/>
      <c r="N6" s="237"/>
      <c r="O6" s="237"/>
      <c r="P6" s="237"/>
    </row>
    <row r="7" spans="1:16" x14ac:dyDescent="0.25">
      <c r="A7" s="120" t="s">
        <v>221</v>
      </c>
      <c r="B7" s="119"/>
      <c r="C7" s="119"/>
      <c r="D7" s="130">
        <v>0</v>
      </c>
      <c r="E7"/>
      <c r="F7"/>
      <c r="H7" s="228" t="s">
        <v>446</v>
      </c>
      <c r="I7" s="230">
        <f>6.91</f>
        <v>6.91</v>
      </c>
      <c r="J7" s="230">
        <v>0</v>
      </c>
      <c r="K7" s="230">
        <v>0</v>
      </c>
      <c r="L7" s="262">
        <f>+I7+J7-K7</f>
        <v>6.91</v>
      </c>
      <c r="M7" s="231"/>
      <c r="N7" s="230">
        <f>J7-K7</f>
        <v>0</v>
      </c>
      <c r="O7" s="230">
        <v>0</v>
      </c>
      <c r="P7" s="230">
        <f>N7-O7</f>
        <v>0</v>
      </c>
    </row>
    <row r="8" spans="1:16" ht="6.75" customHeight="1" x14ac:dyDescent="0.25">
      <c r="A8" s="120"/>
      <c r="B8" s="119"/>
      <c r="C8" s="119"/>
      <c r="D8" s="130"/>
      <c r="E8"/>
      <c r="F8"/>
      <c r="H8" s="243"/>
      <c r="I8" s="244"/>
      <c r="J8" s="244"/>
      <c r="K8" s="244"/>
      <c r="L8" s="276"/>
      <c r="M8" s="244"/>
      <c r="N8" s="244"/>
      <c r="O8" s="244"/>
      <c r="P8" s="244"/>
    </row>
    <row r="9" spans="1:16" x14ac:dyDescent="0.25">
      <c r="A9" s="120"/>
      <c r="B9" s="119"/>
      <c r="C9" s="119"/>
      <c r="D9" s="130"/>
      <c r="E9"/>
      <c r="F9"/>
      <c r="H9" s="251" t="s">
        <v>479</v>
      </c>
      <c r="L9" s="277"/>
      <c r="M9" s="231"/>
    </row>
    <row r="10" spans="1:16" x14ac:dyDescent="0.25">
      <c r="A10" s="120"/>
      <c r="B10" s="119"/>
      <c r="C10" s="119"/>
      <c r="D10" s="130"/>
      <c r="E10"/>
      <c r="F10"/>
      <c r="H10" s="228" t="s">
        <v>500</v>
      </c>
      <c r="I10" s="230">
        <v>0</v>
      </c>
      <c r="J10" s="230">
        <f>'Funds Analysis'!C27</f>
        <v>9.34</v>
      </c>
      <c r="K10" s="230">
        <f>'Funds Analysis'!C89</f>
        <v>219.57999999999998</v>
      </c>
      <c r="L10" s="262">
        <f>I10+J10-K10</f>
        <v>-210.23999999999998</v>
      </c>
      <c r="M10" s="231"/>
      <c r="N10" s="230">
        <f t="shared" ref="N10:N39" si="0">J10-K10</f>
        <v>-210.23999999999998</v>
      </c>
      <c r="O10" s="230">
        <f>'Funds Analysis'!C98</f>
        <v>-210.23999999999998</v>
      </c>
      <c r="P10" s="230">
        <f t="shared" ref="P10:P14" si="1">N10-O10</f>
        <v>0</v>
      </c>
    </row>
    <row r="11" spans="1:16" x14ac:dyDescent="0.25">
      <c r="A11" s="120"/>
      <c r="B11" s="119"/>
      <c r="C11" s="119"/>
      <c r="D11" s="130"/>
      <c r="E11"/>
      <c r="F11"/>
      <c r="H11" s="228" t="s">
        <v>480</v>
      </c>
      <c r="I11" s="230">
        <v>286.42</v>
      </c>
      <c r="J11" s="230">
        <f>'Funds Analysis'!D27</f>
        <v>1501.46</v>
      </c>
      <c r="K11" s="230">
        <f>'Funds Analysis'!D89</f>
        <v>920</v>
      </c>
      <c r="L11" s="262">
        <f t="shared" ref="L11" si="2">I11+J11-K11</f>
        <v>867.88000000000011</v>
      </c>
      <c r="M11" s="231"/>
      <c r="N11" s="230">
        <f t="shared" si="0"/>
        <v>581.46</v>
      </c>
      <c r="O11" s="230">
        <f>'Funds Analysis'!D98</f>
        <v>581.46</v>
      </c>
      <c r="P11" s="230">
        <f t="shared" si="1"/>
        <v>0</v>
      </c>
    </row>
    <row r="12" spans="1:16" x14ac:dyDescent="0.25">
      <c r="A12" s="120"/>
      <c r="B12" s="119"/>
      <c r="C12" s="119"/>
      <c r="D12" s="130"/>
      <c r="E12"/>
      <c r="F12"/>
      <c r="H12" s="228" t="s">
        <v>481</v>
      </c>
      <c r="I12" s="230">
        <v>0</v>
      </c>
      <c r="J12" s="230">
        <f>'Funds Analysis'!E27</f>
        <v>1240.1199999999999</v>
      </c>
      <c r="K12" s="230">
        <f>'Funds Analysis'!E89</f>
        <v>1200</v>
      </c>
      <c r="L12" s="262">
        <f>I12+J12-K12</f>
        <v>40.119999999999891</v>
      </c>
      <c r="M12" s="231"/>
      <c r="N12" s="230">
        <f t="shared" si="0"/>
        <v>40.119999999999891</v>
      </c>
      <c r="O12" s="230">
        <f>'Funds Analysis'!E98</f>
        <v>40.119999999999891</v>
      </c>
      <c r="P12" s="230">
        <f t="shared" si="1"/>
        <v>0</v>
      </c>
    </row>
    <row r="13" spans="1:16" x14ac:dyDescent="0.25">
      <c r="A13" s="120"/>
      <c r="B13" s="119"/>
      <c r="C13" s="119"/>
      <c r="D13" s="130"/>
      <c r="E13"/>
      <c r="F13"/>
      <c r="H13" s="228" t="s">
        <v>482</v>
      </c>
      <c r="I13" s="230">
        <v>1267.19</v>
      </c>
      <c r="J13" s="230">
        <f>'Funds Analysis'!F27</f>
        <v>86.75</v>
      </c>
      <c r="K13" s="230">
        <f>'Funds Analysis'!F89</f>
        <v>291.40999999999997</v>
      </c>
      <c r="L13" s="262">
        <f t="shared" ref="L13" si="3">I13+J13-K13</f>
        <v>1062.5300000000002</v>
      </c>
      <c r="M13" s="231"/>
      <c r="N13" s="230">
        <f t="shared" si="0"/>
        <v>-204.65999999999997</v>
      </c>
      <c r="O13" s="230">
        <f>'Funds Analysis'!F98</f>
        <v>-204.65999999999997</v>
      </c>
      <c r="P13" s="230">
        <f t="shared" si="1"/>
        <v>0</v>
      </c>
    </row>
    <row r="14" spans="1:16" ht="15.75" thickBot="1" x14ac:dyDescent="0.3">
      <c r="A14" s="120"/>
      <c r="B14" s="119"/>
      <c r="C14" s="119"/>
      <c r="D14" s="130"/>
      <c r="E14"/>
      <c r="F14"/>
      <c r="H14" s="249" t="s">
        <v>302</v>
      </c>
      <c r="I14" s="250">
        <f>SUM(I10:I13)</f>
        <v>1553.6100000000001</v>
      </c>
      <c r="J14" s="250">
        <f>SUM(J10:J13)</f>
        <v>2837.67</v>
      </c>
      <c r="K14" s="250">
        <f>SUM(K10:K13)</f>
        <v>2630.99</v>
      </c>
      <c r="L14" s="278">
        <f>SUM(L10:L13)</f>
        <v>1760.2900000000002</v>
      </c>
      <c r="M14" s="231"/>
      <c r="N14" s="250">
        <f>J14-K14</f>
        <v>206.68000000000029</v>
      </c>
      <c r="O14" s="250">
        <f>'Funds Analysis'!G98</f>
        <v>206.67999999999995</v>
      </c>
      <c r="P14" s="250">
        <f t="shared" si="1"/>
        <v>3.4106051316484809E-13</v>
      </c>
    </row>
    <row r="15" spans="1:16" ht="15.75" thickTop="1" x14ac:dyDescent="0.25">
      <c r="A15" s="120"/>
      <c r="B15" s="119"/>
      <c r="C15" s="119"/>
      <c r="D15" s="130"/>
      <c r="E15"/>
      <c r="F15"/>
      <c r="I15" s="230"/>
      <c r="J15" s="230"/>
      <c r="K15" s="230"/>
      <c r="L15" s="262"/>
      <c r="M15" s="231"/>
      <c r="N15" s="230"/>
      <c r="O15" s="230"/>
      <c r="P15" s="230"/>
    </row>
    <row r="16" spans="1:16" ht="6.75" customHeight="1" x14ac:dyDescent="0.25">
      <c r="A16" s="120"/>
      <c r="B16" s="119"/>
      <c r="C16" s="119"/>
      <c r="D16" s="130"/>
      <c r="E16"/>
      <c r="F16"/>
      <c r="H16" s="243"/>
      <c r="I16" s="244"/>
      <c r="J16" s="244"/>
      <c r="K16" s="244"/>
      <c r="L16" s="276"/>
      <c r="M16" s="244"/>
      <c r="N16" s="244"/>
      <c r="O16" s="244"/>
      <c r="P16" s="244"/>
    </row>
    <row r="17" spans="1:16" x14ac:dyDescent="0.25">
      <c r="A17" s="120"/>
      <c r="B17" s="119"/>
      <c r="C17" s="119"/>
      <c r="D17" s="130"/>
      <c r="E17"/>
      <c r="F17"/>
      <c r="H17" s="251" t="s">
        <v>483</v>
      </c>
      <c r="I17" s="230"/>
      <c r="J17" s="230"/>
      <c r="K17" s="230"/>
      <c r="L17" s="262"/>
      <c r="M17" s="231"/>
      <c r="N17" s="230"/>
      <c r="O17" s="230"/>
      <c r="P17" s="230"/>
    </row>
    <row r="18" spans="1:16" ht="34.5" x14ac:dyDescent="0.25">
      <c r="A18" s="120"/>
      <c r="B18" s="119"/>
      <c r="C18" s="119"/>
      <c r="D18" s="130"/>
      <c r="E18"/>
      <c r="F18"/>
      <c r="H18" s="248" t="s">
        <v>496</v>
      </c>
      <c r="I18" s="230">
        <f>3334.78-I20-I13</f>
        <v>2252.09</v>
      </c>
      <c r="J18" s="230">
        <f>'Funds Analysis'!H27</f>
        <v>0</v>
      </c>
      <c r="K18" s="230">
        <f>'Funds Analysis'!H89+'Funds Analysis'!H96</f>
        <v>0</v>
      </c>
      <c r="L18" s="262">
        <f t="shared" ref="L18:L26" si="4">I18+J18-K18</f>
        <v>2252.09</v>
      </c>
      <c r="M18" s="231"/>
      <c r="N18" s="230">
        <f t="shared" si="0"/>
        <v>0</v>
      </c>
      <c r="O18" s="230">
        <f>'Funds Analysis'!H98</f>
        <v>0</v>
      </c>
      <c r="P18" s="230">
        <f t="shared" ref="P18:P23" si="5">N18-O18</f>
        <v>0</v>
      </c>
    </row>
    <row r="19" spans="1:16" x14ac:dyDescent="0.25">
      <c r="A19" s="120"/>
      <c r="B19" s="119"/>
      <c r="C19" s="119"/>
      <c r="D19" s="130"/>
      <c r="E19"/>
      <c r="F19"/>
      <c r="H19" s="228" t="s">
        <v>484</v>
      </c>
      <c r="I19" s="230">
        <v>288.79000000000002</v>
      </c>
      <c r="J19" s="230">
        <f>'Funds Analysis'!J27</f>
        <v>0</v>
      </c>
      <c r="K19" s="230">
        <f>'Funds Analysis'!J89+'Funds Analysis'!J96</f>
        <v>675.53</v>
      </c>
      <c r="L19" s="262">
        <f t="shared" si="4"/>
        <v>-386.73999999999995</v>
      </c>
      <c r="M19" s="231"/>
      <c r="N19" s="230">
        <f t="shared" si="0"/>
        <v>-675.53</v>
      </c>
      <c r="O19" s="230">
        <f>'Funds Analysis'!J98</f>
        <v>-675.53</v>
      </c>
      <c r="P19" s="230">
        <f t="shared" si="5"/>
        <v>0</v>
      </c>
    </row>
    <row r="20" spans="1:16" x14ac:dyDescent="0.25">
      <c r="A20" s="120"/>
      <c r="B20" s="119"/>
      <c r="C20" s="119"/>
      <c r="D20" s="130"/>
      <c r="E20"/>
      <c r="F20"/>
      <c r="H20" s="228" t="s">
        <v>485</v>
      </c>
      <c r="I20" s="230">
        <v>-184.5</v>
      </c>
      <c r="J20" s="230">
        <f>'Funds Analysis'!L27</f>
        <v>0</v>
      </c>
      <c r="K20" s="230">
        <f>'Funds Analysis'!L89+'Funds Analysis'!L96</f>
        <v>-184.5</v>
      </c>
      <c r="L20" s="262">
        <f t="shared" si="4"/>
        <v>0</v>
      </c>
      <c r="M20" s="231"/>
      <c r="N20" s="262">
        <f t="shared" si="0"/>
        <v>184.5</v>
      </c>
      <c r="O20" s="262">
        <f>'Funds Analysis'!L98</f>
        <v>184.5</v>
      </c>
      <c r="P20" s="262">
        <f t="shared" si="5"/>
        <v>0</v>
      </c>
    </row>
    <row r="21" spans="1:16" x14ac:dyDescent="0.25">
      <c r="A21" s="120"/>
      <c r="B21" s="119"/>
      <c r="C21" s="119"/>
      <c r="D21" s="130"/>
      <c r="E21"/>
      <c r="F21"/>
      <c r="H21" s="228" t="s">
        <v>486</v>
      </c>
      <c r="I21" s="230">
        <v>-274.58999999999997</v>
      </c>
      <c r="J21" s="230">
        <f>'Funds Analysis'!K27</f>
        <v>423.6</v>
      </c>
      <c r="K21" s="230">
        <f>'Funds Analysis'!K89+'Funds Analysis'!K96</f>
        <v>628.82999999999993</v>
      </c>
      <c r="L21" s="262">
        <f t="shared" si="4"/>
        <v>-479.81999999999988</v>
      </c>
      <c r="M21" s="231"/>
      <c r="N21" s="230">
        <f t="shared" si="0"/>
        <v>-205.2299999999999</v>
      </c>
      <c r="O21" s="230">
        <f>'Funds Analysis'!K98</f>
        <v>-205.2299999999999</v>
      </c>
      <c r="P21" s="230">
        <f t="shared" si="5"/>
        <v>0</v>
      </c>
    </row>
    <row r="22" spans="1:16" x14ac:dyDescent="0.25">
      <c r="A22" s="120"/>
      <c r="B22" s="119"/>
      <c r="C22" s="119"/>
      <c r="D22" s="130"/>
      <c r="E22"/>
      <c r="F22"/>
      <c r="H22" s="228" t="s">
        <v>487</v>
      </c>
      <c r="I22" s="230">
        <v>0</v>
      </c>
      <c r="J22" s="230">
        <f>'Funds Analysis'!I27</f>
        <v>46</v>
      </c>
      <c r="K22" s="230">
        <f>'Funds Analysis'!I89</f>
        <v>367.8</v>
      </c>
      <c r="L22" s="262">
        <f>I22+J22-K22</f>
        <v>-321.8</v>
      </c>
      <c r="M22" s="231"/>
      <c r="N22" s="230">
        <f>J22-K22</f>
        <v>-321.8</v>
      </c>
      <c r="O22" s="230">
        <f>'Funds Analysis'!I98</f>
        <v>-321.8</v>
      </c>
      <c r="P22" s="230">
        <f t="shared" si="5"/>
        <v>0</v>
      </c>
    </row>
    <row r="23" spans="1:16" ht="15.75" thickBot="1" x14ac:dyDescent="0.3">
      <c r="A23" s="120"/>
      <c r="B23" s="119"/>
      <c r="C23" s="119"/>
      <c r="D23" s="130"/>
      <c r="E23"/>
      <c r="F23"/>
      <c r="H23" s="249" t="s">
        <v>302</v>
      </c>
      <c r="I23" s="250">
        <f>SUM(I18:I22)</f>
        <v>2081.79</v>
      </c>
      <c r="J23" s="250">
        <f t="shared" ref="J23:L23" si="6">SUM(J18:J22)</f>
        <v>469.6</v>
      </c>
      <c r="K23" s="250">
        <f t="shared" si="6"/>
        <v>1487.6599999999999</v>
      </c>
      <c r="L23" s="278">
        <f t="shared" si="6"/>
        <v>1063.7300000000002</v>
      </c>
      <c r="M23" s="231"/>
      <c r="N23" s="250">
        <f t="shared" si="0"/>
        <v>-1018.0599999999998</v>
      </c>
      <c r="O23" s="250">
        <f>'Funds Analysis'!M98</f>
        <v>-1018.06</v>
      </c>
      <c r="P23" s="250">
        <f t="shared" si="5"/>
        <v>0</v>
      </c>
    </row>
    <row r="24" spans="1:16" ht="15.75" thickTop="1" x14ac:dyDescent="0.25">
      <c r="A24" s="120"/>
      <c r="B24" s="119"/>
      <c r="C24" s="119"/>
      <c r="D24" s="130"/>
      <c r="E24"/>
      <c r="F24"/>
      <c r="H24" s="245"/>
      <c r="I24" s="247"/>
      <c r="J24" s="247"/>
      <c r="K24" s="247"/>
      <c r="L24" s="279"/>
      <c r="M24" s="231"/>
      <c r="N24" s="247"/>
      <c r="O24" s="247"/>
      <c r="P24" s="247"/>
    </row>
    <row r="25" spans="1:16" x14ac:dyDescent="0.25">
      <c r="A25" s="120"/>
      <c r="B25" s="119"/>
      <c r="C25" s="119"/>
      <c r="D25" s="130"/>
      <c r="E25"/>
      <c r="F25"/>
      <c r="H25" s="228" t="s">
        <v>23</v>
      </c>
      <c r="I25" s="230">
        <v>2847.48</v>
      </c>
      <c r="J25" s="230">
        <f>'Funds Analysis'!N27</f>
        <v>4649.6900000000005</v>
      </c>
      <c r="K25" s="230">
        <f>'Funds Analysis'!N89+'Funds Analysis'!N96</f>
        <v>2297.79</v>
      </c>
      <c r="L25" s="262">
        <f t="shared" si="4"/>
        <v>5199.38</v>
      </c>
      <c r="M25" s="231"/>
      <c r="N25" s="230">
        <f t="shared" si="0"/>
        <v>2351.9000000000005</v>
      </c>
      <c r="O25" s="230">
        <f>'Funds Analysis'!N98</f>
        <v>2351.9000000000005</v>
      </c>
      <c r="P25" s="230">
        <f t="shared" ref="P25:P27" si="7">N25-O25</f>
        <v>0</v>
      </c>
    </row>
    <row r="26" spans="1:16" x14ac:dyDescent="0.25">
      <c r="A26" s="120"/>
      <c r="B26" s="119"/>
      <c r="C26" s="119"/>
      <c r="D26" s="130"/>
      <c r="E26"/>
      <c r="F26"/>
      <c r="H26" s="228" t="s">
        <v>430</v>
      </c>
      <c r="I26" s="230">
        <v>12500</v>
      </c>
      <c r="J26" s="230">
        <v>0</v>
      </c>
      <c r="K26" s="230">
        <v>0</v>
      </c>
      <c r="L26" s="262">
        <f t="shared" si="4"/>
        <v>12500</v>
      </c>
      <c r="M26" s="231"/>
      <c r="N26" s="230">
        <f t="shared" si="0"/>
        <v>0</v>
      </c>
      <c r="O26" s="230">
        <v>0</v>
      </c>
      <c r="P26" s="230">
        <f t="shared" si="7"/>
        <v>0</v>
      </c>
    </row>
    <row r="27" spans="1:16" x14ac:dyDescent="0.25">
      <c r="A27" s="120"/>
      <c r="B27" s="119"/>
      <c r="C27" s="119"/>
      <c r="D27" s="130"/>
      <c r="E27"/>
      <c r="F27"/>
      <c r="H27" s="228" t="s">
        <v>173</v>
      </c>
      <c r="I27" s="230">
        <v>5004.82</v>
      </c>
      <c r="J27" s="230">
        <v>0</v>
      </c>
      <c r="K27" s="230">
        <v>0</v>
      </c>
      <c r="L27" s="262">
        <f t="shared" ref="L27" si="8">I27+J27-K27</f>
        <v>5004.82</v>
      </c>
      <c r="M27" s="231"/>
      <c r="N27" s="230">
        <f t="shared" si="0"/>
        <v>0</v>
      </c>
      <c r="O27" s="230">
        <v>0</v>
      </c>
      <c r="P27" s="230">
        <f t="shared" si="7"/>
        <v>0</v>
      </c>
    </row>
    <row r="28" spans="1:16" ht="5.25" customHeight="1" x14ac:dyDescent="0.25">
      <c r="A28" s="120"/>
      <c r="B28" s="119"/>
      <c r="C28" s="119"/>
      <c r="D28" s="130"/>
      <c r="E28"/>
      <c r="F28"/>
      <c r="H28" s="243"/>
      <c r="I28" s="244"/>
      <c r="J28" s="244"/>
      <c r="K28" s="244"/>
      <c r="L28" s="276"/>
      <c r="M28" s="244"/>
      <c r="N28" s="244"/>
      <c r="O28" s="244"/>
      <c r="P28" s="244"/>
    </row>
    <row r="29" spans="1:16" x14ac:dyDescent="0.25">
      <c r="A29" s="120"/>
      <c r="B29" s="119"/>
      <c r="C29" s="119"/>
      <c r="D29" s="130"/>
      <c r="E29"/>
      <c r="F29"/>
      <c r="H29" s="251" t="s">
        <v>488</v>
      </c>
      <c r="I29" s="246"/>
      <c r="J29" s="246"/>
      <c r="K29" s="246"/>
      <c r="L29" s="277"/>
      <c r="M29" s="231"/>
      <c r="N29" s="246"/>
      <c r="O29" s="246"/>
      <c r="P29" s="246"/>
    </row>
    <row r="30" spans="1:16" ht="45.75" x14ac:dyDescent="0.25">
      <c r="A30" s="120"/>
      <c r="B30" s="119"/>
      <c r="C30" s="119"/>
      <c r="D30" s="130"/>
      <c r="E30"/>
      <c r="F30"/>
      <c r="H30" s="248" t="s">
        <v>498</v>
      </c>
      <c r="I30" s="230"/>
      <c r="J30" s="230"/>
      <c r="K30" s="230"/>
      <c r="L30" s="262"/>
      <c r="M30" s="231"/>
      <c r="N30" s="230"/>
      <c r="O30" s="230"/>
      <c r="P30" s="230"/>
    </row>
    <row r="31" spans="1:16" ht="23.25" x14ac:dyDescent="0.25">
      <c r="A31" s="120"/>
      <c r="B31" s="119"/>
      <c r="C31" s="119"/>
      <c r="D31" s="130"/>
      <c r="E31"/>
      <c r="F31"/>
      <c r="H31" s="248" t="s">
        <v>499</v>
      </c>
      <c r="I31" s="230">
        <f>4457.04-I33-I34</f>
        <v>4282.17</v>
      </c>
      <c r="J31" s="230">
        <f>'Funds Analysis'!O27-J34</f>
        <v>-2213.31</v>
      </c>
      <c r="K31" s="230">
        <f>'Funds Analysis'!O89+'Funds Analysis'!O96-K34</f>
        <v>7116.92</v>
      </c>
      <c r="L31" s="262">
        <f>+I31+J31-K31</f>
        <v>-5048.0599999999995</v>
      </c>
      <c r="M31" s="231"/>
      <c r="N31" s="230">
        <f>J31-K31+J34-K34</f>
        <v>-9500.56</v>
      </c>
      <c r="O31" s="230">
        <f>'Funds Analysis'!O98</f>
        <v>-9500.56</v>
      </c>
      <c r="P31" s="230">
        <f t="shared" ref="P31:P40" si="9">N31-O31</f>
        <v>0</v>
      </c>
    </row>
    <row r="32" spans="1:16" x14ac:dyDescent="0.25">
      <c r="A32" s="120"/>
      <c r="B32" s="119"/>
      <c r="C32" s="119"/>
      <c r="D32" s="130"/>
      <c r="E32"/>
      <c r="F32"/>
      <c r="H32" s="228" t="s">
        <v>489</v>
      </c>
      <c r="I32" s="230">
        <v>0</v>
      </c>
      <c r="J32" s="230">
        <f>'Funds Analysis'!P27</f>
        <v>346.75</v>
      </c>
      <c r="K32" s="230">
        <f>'Funds Analysis'!P89+'Funds Analysis'!P96</f>
        <v>138.80000000000001</v>
      </c>
      <c r="L32" s="262">
        <f t="shared" ref="L32:L34" si="10">+I32+J32-K32</f>
        <v>207.95</v>
      </c>
      <c r="M32" s="231"/>
      <c r="N32" s="230">
        <f t="shared" si="0"/>
        <v>207.95</v>
      </c>
      <c r="O32" s="230">
        <f>'Funds Analysis'!P98</f>
        <v>207.95</v>
      </c>
      <c r="P32" s="230">
        <f t="shared" si="9"/>
        <v>0</v>
      </c>
    </row>
    <row r="33" spans="1:16" x14ac:dyDescent="0.25">
      <c r="A33" s="120"/>
      <c r="B33" s="119"/>
      <c r="C33" s="119"/>
      <c r="D33" s="130"/>
      <c r="E33"/>
      <c r="F33"/>
      <c r="H33" s="228" t="s">
        <v>490</v>
      </c>
      <c r="I33" s="230">
        <v>-1642.48</v>
      </c>
      <c r="J33" s="230">
        <f>'Funds Analysis'!Q27</f>
        <v>0</v>
      </c>
      <c r="K33" s="230">
        <f>'Funds Analysis'!Q96</f>
        <v>-1642.48</v>
      </c>
      <c r="L33" s="262">
        <f t="shared" si="10"/>
        <v>0</v>
      </c>
      <c r="M33" s="231"/>
      <c r="N33" s="230">
        <f>J33-K33</f>
        <v>1642.48</v>
      </c>
      <c r="O33" s="264"/>
      <c r="P33" s="230">
        <f t="shared" si="9"/>
        <v>1642.48</v>
      </c>
    </row>
    <row r="34" spans="1:16" x14ac:dyDescent="0.25">
      <c r="A34" s="120"/>
      <c r="B34" s="119"/>
      <c r="C34" s="119"/>
      <c r="D34" s="130"/>
      <c r="E34"/>
      <c r="F34"/>
      <c r="H34" s="228" t="s">
        <v>497</v>
      </c>
      <c r="I34" s="230">
        <v>1817.35</v>
      </c>
      <c r="J34" s="230">
        <v>2711.16</v>
      </c>
      <c r="K34" s="230">
        <v>2881.49</v>
      </c>
      <c r="L34" s="262">
        <f t="shared" si="10"/>
        <v>1647.0200000000004</v>
      </c>
      <c r="M34" s="231"/>
      <c r="N34" s="230">
        <f t="shared" si="0"/>
        <v>-170.32999999999993</v>
      </c>
      <c r="O34" s="264"/>
      <c r="P34" s="230">
        <f t="shared" si="9"/>
        <v>-170.32999999999993</v>
      </c>
    </row>
    <row r="35" spans="1:16" x14ac:dyDescent="0.25">
      <c r="A35" s="120"/>
      <c r="B35" s="119"/>
      <c r="C35" s="119"/>
      <c r="D35" s="130"/>
      <c r="E35"/>
      <c r="F35"/>
      <c r="H35" s="228" t="s">
        <v>491</v>
      </c>
      <c r="I35" s="230">
        <v>0</v>
      </c>
      <c r="J35" s="230">
        <f>'Funds Analysis'!R27</f>
        <v>779</v>
      </c>
      <c r="K35" s="230">
        <f>'Funds Analysis'!R89+'Funds Analysis'!K96</f>
        <v>900</v>
      </c>
      <c r="L35" s="262">
        <f t="shared" ref="L35:L38" si="11">+I35+J35-K35</f>
        <v>-121</v>
      </c>
      <c r="M35" s="231"/>
      <c r="N35" s="230">
        <f t="shared" si="0"/>
        <v>-121</v>
      </c>
      <c r="O35" s="230">
        <f>'Funds Analysis'!R98</f>
        <v>-121</v>
      </c>
      <c r="P35" s="230">
        <f t="shared" si="9"/>
        <v>0</v>
      </c>
    </row>
    <row r="36" spans="1:16" x14ac:dyDescent="0.25">
      <c r="A36" s="120"/>
      <c r="B36" s="119"/>
      <c r="C36" s="119"/>
      <c r="D36" s="130"/>
      <c r="E36"/>
      <c r="F36"/>
      <c r="H36" s="228" t="s">
        <v>492</v>
      </c>
      <c r="I36" s="230">
        <v>0</v>
      </c>
      <c r="J36" s="230">
        <f>'Funds Analysis'!S27</f>
        <v>500</v>
      </c>
      <c r="K36" s="230">
        <f>'Funds Analysis'!S89+'Funds Analysis'!S96</f>
        <v>0</v>
      </c>
      <c r="L36" s="262">
        <f t="shared" si="11"/>
        <v>500</v>
      </c>
      <c r="M36" s="231"/>
      <c r="N36" s="230">
        <f t="shared" si="0"/>
        <v>500</v>
      </c>
      <c r="O36" s="230">
        <f>'Funds Analysis'!S98</f>
        <v>500</v>
      </c>
      <c r="P36" s="230">
        <f t="shared" si="9"/>
        <v>0</v>
      </c>
    </row>
    <row r="37" spans="1:16" x14ac:dyDescent="0.25">
      <c r="A37" s="120"/>
      <c r="B37" s="119"/>
      <c r="C37" s="119"/>
      <c r="D37" s="130"/>
      <c r="E37"/>
      <c r="F37"/>
      <c r="H37" s="228" t="s">
        <v>493</v>
      </c>
      <c r="I37" s="230">
        <v>-16.670000000000002</v>
      </c>
      <c r="J37" s="230">
        <f>'Funds Analysis'!T23</f>
        <v>0</v>
      </c>
      <c r="K37" s="230">
        <f>'Funds Analysis'!T89+'Funds Analysis'!T96</f>
        <v>-16.670000000000016</v>
      </c>
      <c r="L37" s="262">
        <f t="shared" si="11"/>
        <v>0</v>
      </c>
      <c r="M37" s="231"/>
      <c r="N37" s="230">
        <f t="shared" si="0"/>
        <v>16.670000000000016</v>
      </c>
      <c r="O37" s="230">
        <f>'Funds Analysis'!T98</f>
        <v>16.670000000000016</v>
      </c>
      <c r="P37" s="230">
        <f t="shared" si="9"/>
        <v>0</v>
      </c>
    </row>
    <row r="38" spans="1:16" x14ac:dyDescent="0.25">
      <c r="A38" s="120"/>
      <c r="B38" s="119"/>
      <c r="C38" s="119"/>
      <c r="D38" s="130"/>
      <c r="E38"/>
      <c r="F38"/>
      <c r="H38" s="228" t="s">
        <v>494</v>
      </c>
      <c r="I38" s="230">
        <v>0</v>
      </c>
      <c r="J38" s="230">
        <f>'Funds Analysis'!U27</f>
        <v>153</v>
      </c>
      <c r="K38" s="230">
        <f>'Funds Analysis'!U89+'Funds Analysis'!U96</f>
        <v>601.16</v>
      </c>
      <c r="L38" s="262">
        <f t="shared" si="11"/>
        <v>-448.15999999999997</v>
      </c>
      <c r="M38" s="231"/>
      <c r="N38" s="230">
        <f t="shared" si="0"/>
        <v>-448.15999999999997</v>
      </c>
      <c r="O38" s="230">
        <f>'Funds Analysis'!U98</f>
        <v>-448.15999999999997</v>
      </c>
      <c r="P38" s="230">
        <f t="shared" si="9"/>
        <v>0</v>
      </c>
    </row>
    <row r="39" spans="1:16" x14ac:dyDescent="0.25">
      <c r="A39" s="120"/>
      <c r="B39" s="119"/>
      <c r="C39" s="119"/>
      <c r="D39" s="130"/>
      <c r="E39"/>
      <c r="F39"/>
      <c r="H39" s="228" t="s">
        <v>495</v>
      </c>
      <c r="I39" s="230">
        <v>0</v>
      </c>
      <c r="J39" s="230">
        <f>'Funds Analysis'!V27</f>
        <v>524.30999999999995</v>
      </c>
      <c r="K39" s="230">
        <f>'Funds Analysis'!V89+'Funds Analysis'!V96</f>
        <v>851.01</v>
      </c>
      <c r="L39" s="262">
        <f t="shared" ref="L39" si="12">+I39+J39-K39</f>
        <v>-326.70000000000005</v>
      </c>
      <c r="M39" s="231"/>
      <c r="N39" s="230">
        <f t="shared" si="0"/>
        <v>-326.70000000000005</v>
      </c>
      <c r="O39" s="230">
        <f>'Funds Analysis'!V98</f>
        <v>-326.70000000000005</v>
      </c>
      <c r="P39" s="230">
        <f t="shared" si="9"/>
        <v>0</v>
      </c>
    </row>
    <row r="40" spans="1:16" ht="15.75" thickBot="1" x14ac:dyDescent="0.3">
      <c r="A40" s="120"/>
      <c r="B40" s="119"/>
      <c r="C40" s="119"/>
      <c r="D40" s="130"/>
      <c r="E40"/>
      <c r="F40"/>
      <c r="H40" s="249" t="s">
        <v>302</v>
      </c>
      <c r="I40" s="250">
        <f>SUM(I28:I39)</f>
        <v>4440.37</v>
      </c>
      <c r="J40" s="250">
        <f>SUM(J31:J39)</f>
        <v>2800.91</v>
      </c>
      <c r="K40" s="250">
        <f>SUM(K31:K39)</f>
        <v>10830.23</v>
      </c>
      <c r="L40" s="278">
        <f>SUM(L28:L39)</f>
        <v>-3588.9499999999989</v>
      </c>
      <c r="M40" s="231"/>
      <c r="N40" s="250">
        <f>J40-K40</f>
        <v>-8029.32</v>
      </c>
      <c r="O40" s="250">
        <f>'Funds Analysis'!W98</f>
        <v>-8029.3199999999988</v>
      </c>
      <c r="P40" s="250">
        <f t="shared" si="9"/>
        <v>0</v>
      </c>
    </row>
    <row r="41" spans="1:16" ht="15.75" thickTop="1" x14ac:dyDescent="0.25">
      <c r="A41" s="120" t="s">
        <v>222</v>
      </c>
      <c r="B41" s="123">
        <v>12095.1</v>
      </c>
      <c r="C41" s="124">
        <v>-7195.42</v>
      </c>
      <c r="D41" s="130">
        <f>B41+C41</f>
        <v>4899.68</v>
      </c>
      <c r="E41" s="92">
        <v>-8918.77</v>
      </c>
      <c r="F41" s="132">
        <f>E41+D41</f>
        <v>-4019.09</v>
      </c>
      <c r="H41" s="228"/>
      <c r="I41" s="230"/>
      <c r="J41" s="230"/>
      <c r="K41" s="230"/>
      <c r="L41" s="230"/>
      <c r="M41" s="231"/>
      <c r="N41" s="230"/>
      <c r="O41" s="230"/>
      <c r="P41" s="230">
        <f>N41-O41</f>
        <v>0</v>
      </c>
    </row>
    <row r="42" spans="1:16" ht="15.75" thickBot="1" x14ac:dyDescent="0.3">
      <c r="A42" s="120" t="s">
        <v>224</v>
      </c>
      <c r="B42" s="123">
        <v>5384</v>
      </c>
      <c r="C42" s="124">
        <f>-3804.11-1120-459.89</f>
        <v>-5384.0000000000009</v>
      </c>
      <c r="D42" s="130">
        <f>B42+C42</f>
        <v>0</v>
      </c>
      <c r="H42" s="232" t="s">
        <v>447</v>
      </c>
      <c r="I42" s="235">
        <f>I14+I23+I25+I26+I27+I40+I7</f>
        <v>28434.98</v>
      </c>
      <c r="J42" s="235">
        <f>J14+J23+J25+J26+J27+J40</f>
        <v>10757.87</v>
      </c>
      <c r="K42" s="235">
        <f>K14+K23+K25+K26+K27+K40</f>
        <v>17246.669999999998</v>
      </c>
      <c r="L42" s="263">
        <f>L14+L23+L25+L26+L27+L40</f>
        <v>21939.270000000004</v>
      </c>
      <c r="M42" s="231"/>
      <c r="N42" s="235">
        <f>N14+N23+N25+N26+N27+N40</f>
        <v>-6488.7999999999993</v>
      </c>
      <c r="O42" s="235">
        <f>'Funds Analysis'!X98</f>
        <v>-6488.7999999999984</v>
      </c>
      <c r="P42" s="235">
        <f>N42-O42</f>
        <v>0</v>
      </c>
    </row>
    <row r="43" spans="1:16" ht="15.75" thickTop="1" x14ac:dyDescent="0.25">
      <c r="A43" s="120" t="s">
        <v>226</v>
      </c>
      <c r="B43" s="119"/>
      <c r="C43" s="119"/>
      <c r="D43" s="130">
        <v>0</v>
      </c>
      <c r="H43" s="231"/>
      <c r="I43" s="231"/>
      <c r="J43" s="231"/>
      <c r="K43" s="231"/>
      <c r="L43" s="231"/>
      <c r="M43" s="231"/>
      <c r="N43" s="231"/>
      <c r="O43" s="231"/>
      <c r="P43" s="231"/>
    </row>
    <row r="44" spans="1:16" x14ac:dyDescent="0.25">
      <c r="A44" s="120" t="s">
        <v>229</v>
      </c>
      <c r="B44" s="119"/>
      <c r="C44" s="119"/>
      <c r="D44" s="130">
        <v>0</v>
      </c>
      <c r="M44" s="231"/>
    </row>
    <row r="45" spans="1:16" x14ac:dyDescent="0.25">
      <c r="A45" s="120" t="s">
        <v>230</v>
      </c>
      <c r="B45" s="123">
        <v>24002.62</v>
      </c>
      <c r="C45" s="124">
        <v>-21307.43</v>
      </c>
      <c r="D45" s="130">
        <f>B45+C45</f>
        <v>2695.1899999999987</v>
      </c>
      <c r="M45" s="231"/>
    </row>
    <row r="46" spans="1:16" x14ac:dyDescent="0.25">
      <c r="A46" s="205" t="s">
        <v>231</v>
      </c>
      <c r="B46" s="121">
        <f>B45</f>
        <v>24002.62</v>
      </c>
      <c r="C46" s="122">
        <f>C45</f>
        <v>-21307.43</v>
      </c>
      <c r="D46" s="133">
        <f>D45</f>
        <v>2695.1899999999987</v>
      </c>
    </row>
    <row r="47" spans="1:16" hidden="1" x14ac:dyDescent="0.25">
      <c r="A47" s="120" t="s">
        <v>234</v>
      </c>
      <c r="B47" s="123">
        <v>3243.96</v>
      </c>
      <c r="C47" s="124">
        <v>-3243.96</v>
      </c>
      <c r="D47" s="130">
        <f t="shared" ref="D47:D53" si="13">B47+C47</f>
        <v>0</v>
      </c>
      <c r="J47" s="238"/>
    </row>
    <row r="48" spans="1:16" hidden="1" x14ac:dyDescent="0.25">
      <c r="A48" s="120" t="s">
        <v>236</v>
      </c>
      <c r="B48" s="119"/>
      <c r="C48" s="119"/>
      <c r="D48" s="130">
        <f t="shared" si="13"/>
        <v>0</v>
      </c>
      <c r="J48" s="238"/>
    </row>
    <row r="49" spans="1:9" hidden="1" x14ac:dyDescent="0.25">
      <c r="A49" s="120" t="s">
        <v>237</v>
      </c>
      <c r="B49" s="123">
        <v>11500</v>
      </c>
      <c r="C49" s="124">
        <v>-11500</v>
      </c>
      <c r="D49" s="130">
        <f t="shared" si="13"/>
        <v>0</v>
      </c>
    </row>
    <row r="50" spans="1:9" x14ac:dyDescent="0.25">
      <c r="A50" s="120" t="s">
        <v>380</v>
      </c>
      <c r="B50" s="194">
        <v>15548.86</v>
      </c>
      <c r="C50" s="195">
        <v>-15548.86</v>
      </c>
      <c r="D50" s="196">
        <f t="shared" si="13"/>
        <v>0</v>
      </c>
    </row>
    <row r="51" spans="1:9" x14ac:dyDescent="0.25">
      <c r="A51" s="120" t="s">
        <v>435</v>
      </c>
      <c r="B51" s="194">
        <v>1294.81</v>
      </c>
      <c r="C51" s="195">
        <v>-971.5</v>
      </c>
      <c r="D51" s="196">
        <f t="shared" si="13"/>
        <v>323.30999999999995</v>
      </c>
    </row>
    <row r="52" spans="1:9" x14ac:dyDescent="0.25">
      <c r="A52" s="35" t="s">
        <v>423</v>
      </c>
      <c r="B52" s="194">
        <f>958+459.89</f>
        <v>1417.8899999999999</v>
      </c>
      <c r="C52" s="195">
        <v>-607.99</v>
      </c>
      <c r="D52" s="196">
        <f t="shared" si="13"/>
        <v>809.89999999999986</v>
      </c>
    </row>
    <row r="53" spans="1:9" x14ac:dyDescent="0.25">
      <c r="A53" s="35" t="s">
        <v>426</v>
      </c>
      <c r="B53" s="194">
        <v>1567.4</v>
      </c>
      <c r="C53" s="195">
        <v>-1669.97</v>
      </c>
      <c r="D53" s="196">
        <f t="shared" si="13"/>
        <v>-102.56999999999994</v>
      </c>
    </row>
    <row r="54" spans="1:9" x14ac:dyDescent="0.25">
      <c r="A54" s="35" t="s">
        <v>428</v>
      </c>
      <c r="B54" s="37">
        <v>1973.12</v>
      </c>
      <c r="C54" s="208">
        <v>-4304.45</v>
      </c>
      <c r="D54" s="144">
        <f>B54+C54</f>
        <v>-2331.33</v>
      </c>
    </row>
    <row r="55" spans="1:9" hidden="1" x14ac:dyDescent="0.25">
      <c r="A55" s="35" t="s">
        <v>431</v>
      </c>
      <c r="B55" s="37">
        <v>501</v>
      </c>
      <c r="C55" s="208">
        <v>-685.5</v>
      </c>
      <c r="D55" s="144">
        <f t="shared" ref="D55:D56" si="14">B55+C55</f>
        <v>-184.5</v>
      </c>
    </row>
    <row r="56" spans="1:9" x14ac:dyDescent="0.25">
      <c r="A56" s="35" t="s">
        <v>432</v>
      </c>
      <c r="B56" s="37">
        <v>12500</v>
      </c>
      <c r="C56" s="208">
        <v>0</v>
      </c>
      <c r="D56" s="144">
        <f t="shared" si="14"/>
        <v>12500</v>
      </c>
    </row>
    <row r="57" spans="1:9" x14ac:dyDescent="0.25">
      <c r="A57" s="120" t="s">
        <v>232</v>
      </c>
      <c r="B57" s="121" t="e">
        <f>#REF!+B42+#REF!+#REF!+#REF!+B46+B47+#REF!+#REF!+B50+B52+B53+B55+B54+B56+B51</f>
        <v>#REF!</v>
      </c>
      <c r="C57" s="121" t="e">
        <f>#REF!+C42+#REF!+#REF!+#REF!+C46+C47+#REF!+#REF!+C50+C52+C53+C55+C54+C56+C51</f>
        <v>#REF!</v>
      </c>
      <c r="D57" s="121" t="e">
        <f>#REF!+D42+#REF!+#REF!+#REF!+D46+D47+#REF!+#REF!+D50+D52+D53+D55+D54+D56+D51</f>
        <v>#REF!</v>
      </c>
    </row>
    <row r="58" spans="1:9" x14ac:dyDescent="0.25">
      <c r="A58" s="120"/>
      <c r="B58" s="119"/>
      <c r="C58" s="119"/>
      <c r="D58" s="119"/>
    </row>
    <row r="59" spans="1:9" x14ac:dyDescent="0.25">
      <c r="B59" s="131"/>
      <c r="C59" s="131"/>
      <c r="D59" s="131"/>
      <c r="H59" s="127"/>
      <c r="I59" s="127"/>
    </row>
    <row r="60" spans="1:9" x14ac:dyDescent="0.25">
      <c r="H60" s="127"/>
      <c r="I60" s="127"/>
    </row>
    <row r="61" spans="1:9" x14ac:dyDescent="0.25">
      <c r="A61" s="292"/>
      <c r="B61" s="293"/>
      <c r="C61" s="293"/>
      <c r="D61" s="293"/>
      <c r="H61" s="128" t="s">
        <v>41</v>
      </c>
      <c r="I61" s="127"/>
    </row>
    <row r="62" spans="1:9" x14ac:dyDescent="0.25">
      <c r="H62" s="128" t="s">
        <v>42</v>
      </c>
      <c r="I62" s="127"/>
    </row>
    <row r="63" spans="1:9" x14ac:dyDescent="0.25">
      <c r="H63" s="128" t="s">
        <v>43</v>
      </c>
      <c r="I63" s="127"/>
    </row>
    <row r="64" spans="1:9" x14ac:dyDescent="0.25">
      <c r="H64" s="127"/>
      <c r="I64" s="127"/>
    </row>
    <row r="65" spans="8:9" x14ac:dyDescent="0.25">
      <c r="H65" s="128" t="s">
        <v>44</v>
      </c>
      <c r="I65" s="127"/>
    </row>
    <row r="66" spans="8:9" x14ac:dyDescent="0.25">
      <c r="H66" s="129" t="s">
        <v>310</v>
      </c>
      <c r="I66" s="127"/>
    </row>
    <row r="67" spans="8:9" x14ac:dyDescent="0.25">
      <c r="H67" s="128" t="s">
        <v>45</v>
      </c>
      <c r="I67" s="127"/>
    </row>
    <row r="68" spans="8:9" x14ac:dyDescent="0.25">
      <c r="H68" s="128" t="s">
        <v>46</v>
      </c>
      <c r="I68" s="127"/>
    </row>
    <row r="69" spans="8:9" x14ac:dyDescent="0.25">
      <c r="H69" s="127"/>
      <c r="I69" s="127"/>
    </row>
    <row r="70" spans="8:9" x14ac:dyDescent="0.25">
      <c r="H70" s="127"/>
      <c r="I70" s="127"/>
    </row>
    <row r="71" spans="8:9" x14ac:dyDescent="0.25">
      <c r="H71" s="129" t="s">
        <v>23</v>
      </c>
      <c r="I71" s="127"/>
    </row>
    <row r="72" spans="8:9" x14ac:dyDescent="0.25">
      <c r="H72" s="127"/>
      <c r="I72" s="127"/>
    </row>
    <row r="73" spans="8:9" x14ac:dyDescent="0.25">
      <c r="H73" s="128" t="s">
        <v>173</v>
      </c>
      <c r="I73" s="128" t="s">
        <v>257</v>
      </c>
    </row>
    <row r="74" spans="8:9" x14ac:dyDescent="0.25">
      <c r="H74" s="127"/>
      <c r="I74" s="127"/>
    </row>
    <row r="75" spans="8:9" x14ac:dyDescent="0.25">
      <c r="H75" s="128" t="s">
        <v>242</v>
      </c>
      <c r="I75" s="127"/>
    </row>
    <row r="76" spans="8:9" x14ac:dyDescent="0.25">
      <c r="H76" s="127"/>
      <c r="I76" s="127"/>
    </row>
    <row r="77" spans="8:9" x14ac:dyDescent="0.25">
      <c r="H77" s="128" t="s">
        <v>243</v>
      </c>
      <c r="I77" s="127"/>
    </row>
    <row r="78" spans="8:9" x14ac:dyDescent="0.25">
      <c r="H78" s="128"/>
      <c r="I78" s="127"/>
    </row>
    <row r="79" spans="8:9" x14ac:dyDescent="0.25">
      <c r="H79" s="129" t="s">
        <v>418</v>
      </c>
      <c r="I79" s="127"/>
    </row>
    <row r="80" spans="8:9" x14ac:dyDescent="0.25">
      <c r="H80" s="128"/>
      <c r="I80" s="127"/>
    </row>
    <row r="81" spans="8:9" x14ac:dyDescent="0.25">
      <c r="H81" s="129" t="s">
        <v>421</v>
      </c>
      <c r="I81" s="127"/>
    </row>
    <row r="82" spans="8:9" x14ac:dyDescent="0.25">
      <c r="H82" s="128"/>
      <c r="I82" s="127"/>
    </row>
    <row r="83" spans="8:9" x14ac:dyDescent="0.25">
      <c r="H83" s="127" t="s">
        <v>380</v>
      </c>
      <c r="I83" s="127"/>
    </row>
    <row r="84" spans="8:9" x14ac:dyDescent="0.25">
      <c r="H84" s="127"/>
      <c r="I84" s="127"/>
    </row>
    <row r="85" spans="8:9" x14ac:dyDescent="0.25">
      <c r="H85" s="127" t="s">
        <v>427</v>
      </c>
      <c r="I85" s="127"/>
    </row>
    <row r="86" spans="8:9" x14ac:dyDescent="0.25">
      <c r="H86" s="127"/>
      <c r="I86" s="127"/>
    </row>
    <row r="87" spans="8:9" x14ac:dyDescent="0.25">
      <c r="H87" s="128" t="s">
        <v>48</v>
      </c>
      <c r="I87" s="127"/>
    </row>
  </sheetData>
  <mergeCells count="4">
    <mergeCell ref="A61:D61"/>
    <mergeCell ref="A1:D1"/>
    <mergeCell ref="A2:D2"/>
    <mergeCell ref="A3:D3"/>
  </mergeCells>
  <pageMargins left="0.7" right="0.7" top="0.75" bottom="0.75" header="0.3" footer="0.3"/>
  <pageSetup paperSize="9" scale="42"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AE102"/>
  <sheetViews>
    <sheetView topLeftCell="O1" zoomScale="115" zoomScaleNormal="115" workbookViewId="0">
      <pane ySplit="5" topLeftCell="A89" activePane="bottomLeft" state="frozen"/>
      <selection pane="bottomLeft" activeCell="X84" sqref="X84"/>
    </sheetView>
  </sheetViews>
  <sheetFormatPr defaultColWidth="9.28515625" defaultRowHeight="15" customHeight="1" x14ac:dyDescent="0.2"/>
  <cols>
    <col min="1" max="1" width="52.42578125" bestFit="1" customWidth="1"/>
    <col min="2" max="2" width="8.42578125" hidden="1" customWidth="1"/>
    <col min="3" max="3" width="8.140625" hidden="1" customWidth="1"/>
    <col min="4" max="5" width="8.7109375" hidden="1" customWidth="1"/>
    <col min="6" max="6" width="0" hidden="1" customWidth="1"/>
    <col min="7" max="7" width="8.7109375" style="179" hidden="1" customWidth="1"/>
    <col min="8" max="8" width="8" hidden="1" customWidth="1"/>
    <col min="9" max="9" width="0" hidden="1" customWidth="1"/>
    <col min="10" max="10" width="10" hidden="1" customWidth="1"/>
    <col min="11" max="11" width="0" hidden="1" customWidth="1"/>
    <col min="12" max="12" width="8" hidden="1" customWidth="1"/>
    <col min="13" max="13" width="8.7109375" style="179" hidden="1" customWidth="1"/>
    <col min="14" max="14" width="8.7109375" hidden="1" customWidth="1"/>
    <col min="15" max="15" width="9.5703125" style="319" bestFit="1" customWidth="1"/>
    <col min="16" max="16" width="9" bestFit="1" customWidth="1"/>
    <col min="17" max="21" width="9" customWidth="1"/>
    <col min="22" max="22" width="9" style="322" customWidth="1"/>
    <col min="23" max="23" width="10.140625" style="179" bestFit="1" customWidth="1"/>
    <col min="24" max="24" width="9.5703125" bestFit="1" customWidth="1"/>
    <col min="25" max="25" width="9.140625" hidden="1" customWidth="1"/>
    <col min="26" max="26" width="8.42578125" bestFit="1" customWidth="1"/>
    <col min="27" max="27" width="9.5703125" bestFit="1" customWidth="1"/>
    <col min="28" max="28" width="8.7109375" hidden="1" customWidth="1"/>
    <col min="29" max="29" width="9.5703125" bestFit="1" customWidth="1"/>
    <col min="30" max="30" width="10.140625" bestFit="1" customWidth="1"/>
  </cols>
  <sheetData>
    <row r="1" spans="1:31" ht="15" customHeight="1" x14ac:dyDescent="0.25">
      <c r="A1" s="297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</row>
    <row r="2" spans="1:31" ht="15" customHeight="1" x14ac:dyDescent="0.25">
      <c r="A2" s="297" t="s">
        <v>327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</row>
    <row r="3" spans="1:31" ht="15" customHeight="1" x14ac:dyDescent="0.25">
      <c r="A3" s="298" t="s">
        <v>477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</row>
    <row r="5" spans="1:31" ht="58.5" customHeight="1" x14ac:dyDescent="0.25">
      <c r="A5" s="126"/>
      <c r="B5" s="252" t="s">
        <v>176</v>
      </c>
      <c r="C5" s="252" t="s">
        <v>449</v>
      </c>
      <c r="D5" s="252" t="s">
        <v>435</v>
      </c>
      <c r="E5" s="252" t="s">
        <v>451</v>
      </c>
      <c r="F5" s="252" t="s">
        <v>450</v>
      </c>
      <c r="G5" s="253" t="s">
        <v>452</v>
      </c>
      <c r="H5" s="252" t="s">
        <v>51</v>
      </c>
      <c r="I5" s="252" t="s">
        <v>52</v>
      </c>
      <c r="J5" s="252" t="s">
        <v>501</v>
      </c>
      <c r="K5" s="252" t="s">
        <v>425</v>
      </c>
      <c r="L5" s="252" t="s">
        <v>453</v>
      </c>
      <c r="M5" s="253" t="s">
        <v>454</v>
      </c>
      <c r="N5" s="252" t="s">
        <v>23</v>
      </c>
      <c r="O5" s="316" t="s">
        <v>455</v>
      </c>
      <c r="P5" s="252" t="s">
        <v>456</v>
      </c>
      <c r="Q5" s="252" t="s">
        <v>177</v>
      </c>
      <c r="R5" s="252" t="s">
        <v>457</v>
      </c>
      <c r="S5" s="252" t="s">
        <v>458</v>
      </c>
      <c r="T5" s="252" t="s">
        <v>418</v>
      </c>
      <c r="U5" s="252" t="s">
        <v>459</v>
      </c>
      <c r="V5" s="316" t="s">
        <v>460</v>
      </c>
      <c r="W5" s="253" t="s">
        <v>461</v>
      </c>
      <c r="X5" s="259" t="s">
        <v>50</v>
      </c>
      <c r="Y5" s="252" t="s">
        <v>178</v>
      </c>
      <c r="Z5" s="252" t="s">
        <v>381</v>
      </c>
      <c r="AA5" s="252" t="s">
        <v>51</v>
      </c>
      <c r="AB5" s="252" t="s">
        <v>1</v>
      </c>
      <c r="AC5" s="259" t="s">
        <v>53</v>
      </c>
      <c r="AD5" s="252" t="s">
        <v>54</v>
      </c>
      <c r="AE5" s="252"/>
    </row>
    <row r="6" spans="1:31" ht="15" customHeight="1" x14ac:dyDescent="0.2">
      <c r="A6" s="265" t="s">
        <v>55</v>
      </c>
      <c r="B6" s="254"/>
      <c r="C6" s="254"/>
      <c r="D6" s="254"/>
      <c r="E6" s="254"/>
      <c r="F6" s="254"/>
      <c r="G6" s="255">
        <f>C6+D6+E6+F6</f>
        <v>0</v>
      </c>
      <c r="H6" s="254"/>
      <c r="I6" s="254"/>
      <c r="J6" s="254"/>
      <c r="K6" s="254"/>
      <c r="L6" s="254"/>
      <c r="M6" s="255">
        <f>H6+I6+J6+K6+L6</f>
        <v>0</v>
      </c>
      <c r="N6" s="254"/>
      <c r="O6" s="317"/>
      <c r="P6" s="254"/>
      <c r="Q6" s="254"/>
      <c r="R6" s="254"/>
      <c r="S6" s="254"/>
      <c r="T6" s="254"/>
      <c r="U6" s="254"/>
      <c r="V6" s="320"/>
      <c r="W6" s="255">
        <f>SUM(O6:V6)</f>
        <v>0</v>
      </c>
      <c r="X6" s="260">
        <f>B6+G6+M6+N6+W6</f>
        <v>0</v>
      </c>
      <c r="Y6" s="254"/>
      <c r="Z6" s="254"/>
      <c r="AA6" s="254"/>
      <c r="AB6" s="254"/>
      <c r="AC6" s="260">
        <f>Y6+Z6+AA6+AB6</f>
        <v>0</v>
      </c>
      <c r="AD6" s="254">
        <f>X6+AC6</f>
        <v>0</v>
      </c>
      <c r="AE6" s="254"/>
    </row>
    <row r="7" spans="1:31" ht="15" customHeight="1" x14ac:dyDescent="0.2">
      <c r="A7" s="265" t="s">
        <v>56</v>
      </c>
      <c r="B7" s="254"/>
      <c r="C7" s="254"/>
      <c r="D7" s="254"/>
      <c r="E7" s="254"/>
      <c r="F7" s="254"/>
      <c r="G7" s="255">
        <f t="shared" ref="G7:G70" si="0">C7+D7+E7+F7</f>
        <v>0</v>
      </c>
      <c r="H7" s="254"/>
      <c r="I7" s="254"/>
      <c r="J7" s="254"/>
      <c r="K7" s="254"/>
      <c r="L7" s="254"/>
      <c r="M7" s="255">
        <f t="shared" ref="M7:M70" si="1">H7+I7+J7+K7+L7</f>
        <v>0</v>
      </c>
      <c r="N7" s="254"/>
      <c r="O7" s="317"/>
      <c r="P7" s="254"/>
      <c r="Q7" s="254"/>
      <c r="R7" s="254"/>
      <c r="S7" s="254"/>
      <c r="T7" s="254"/>
      <c r="U7" s="254"/>
      <c r="V7" s="320"/>
      <c r="W7" s="255">
        <f t="shared" ref="W7:W70" si="2">SUM(O7:V7)</f>
        <v>0</v>
      </c>
      <c r="X7" s="260">
        <f t="shared" ref="X7:X70" si="3">B7+G7+M7+N7+W7</f>
        <v>0</v>
      </c>
      <c r="Y7" s="254"/>
      <c r="Z7" s="254"/>
      <c r="AA7" s="254"/>
      <c r="AB7" s="254"/>
      <c r="AC7" s="260">
        <f t="shared" ref="AC7:AC70" si="4">Y7+Z7+AA7+AB7</f>
        <v>0</v>
      </c>
      <c r="AD7" s="254">
        <f t="shared" ref="AD7:AD70" si="5">X7+AC7</f>
        <v>0</v>
      </c>
      <c r="AE7" s="254"/>
    </row>
    <row r="8" spans="1:31" ht="15" customHeight="1" x14ac:dyDescent="0.2">
      <c r="A8" s="265" t="s">
        <v>57</v>
      </c>
      <c r="B8" s="254"/>
      <c r="C8" s="254"/>
      <c r="D8" s="254"/>
      <c r="E8" s="254"/>
      <c r="F8" s="256">
        <v>10</v>
      </c>
      <c r="G8" s="255">
        <f t="shared" si="0"/>
        <v>10</v>
      </c>
      <c r="H8" s="254"/>
      <c r="I8" s="254"/>
      <c r="J8" s="254"/>
      <c r="K8" s="254"/>
      <c r="L8" s="254"/>
      <c r="M8" s="255">
        <f t="shared" si="1"/>
        <v>0</v>
      </c>
      <c r="N8" s="256">
        <v>556.4</v>
      </c>
      <c r="O8" s="317"/>
      <c r="P8" s="254"/>
      <c r="Q8" s="254"/>
      <c r="R8" s="254"/>
      <c r="S8" s="256">
        <v>500</v>
      </c>
      <c r="T8" s="254"/>
      <c r="U8" s="254"/>
      <c r="V8" s="320"/>
      <c r="W8" s="255">
        <f t="shared" si="2"/>
        <v>500</v>
      </c>
      <c r="X8" s="260">
        <f t="shared" si="3"/>
        <v>1066.4000000000001</v>
      </c>
      <c r="Y8" s="254"/>
      <c r="Z8" s="254"/>
      <c r="AA8" s="256">
        <v>1073.4100000000001</v>
      </c>
      <c r="AB8" s="254"/>
      <c r="AC8" s="260">
        <f t="shared" si="4"/>
        <v>1073.4100000000001</v>
      </c>
      <c r="AD8" s="254">
        <f t="shared" si="5"/>
        <v>2139.8100000000004</v>
      </c>
      <c r="AE8" s="254"/>
    </row>
    <row r="9" spans="1:31" ht="15" customHeight="1" x14ac:dyDescent="0.2">
      <c r="A9" s="265" t="s">
        <v>462</v>
      </c>
      <c r="B9" s="254"/>
      <c r="C9" s="254"/>
      <c r="D9" s="256">
        <v>1501.46</v>
      </c>
      <c r="E9" s="254"/>
      <c r="F9" s="254"/>
      <c r="G9" s="255">
        <f t="shared" si="0"/>
        <v>1501.46</v>
      </c>
      <c r="H9" s="254"/>
      <c r="I9" s="254"/>
      <c r="J9" s="254"/>
      <c r="K9" s="254"/>
      <c r="L9" s="254"/>
      <c r="M9" s="255">
        <f t="shared" si="1"/>
        <v>0</v>
      </c>
      <c r="N9" s="254"/>
      <c r="O9" s="317"/>
      <c r="P9" s="254"/>
      <c r="Q9" s="254"/>
      <c r="R9" s="254"/>
      <c r="S9" s="254"/>
      <c r="T9" s="254"/>
      <c r="U9" s="254"/>
      <c r="V9" s="320"/>
      <c r="W9" s="255">
        <f t="shared" si="2"/>
        <v>0</v>
      </c>
      <c r="X9" s="260">
        <f t="shared" si="3"/>
        <v>1501.46</v>
      </c>
      <c r="Y9" s="254"/>
      <c r="Z9" s="254"/>
      <c r="AA9" s="254"/>
      <c r="AB9" s="254"/>
      <c r="AC9" s="260">
        <f t="shared" si="4"/>
        <v>0</v>
      </c>
      <c r="AD9" s="254">
        <f t="shared" si="5"/>
        <v>1501.46</v>
      </c>
      <c r="AE9" s="254"/>
    </row>
    <row r="10" spans="1:31" ht="15" customHeight="1" x14ac:dyDescent="0.2">
      <c r="A10" s="265" t="s">
        <v>58</v>
      </c>
      <c r="B10" s="257">
        <v>0</v>
      </c>
      <c r="C10" s="257">
        <v>0</v>
      </c>
      <c r="D10" s="257">
        <v>1501.46</v>
      </c>
      <c r="E10" s="257">
        <v>0</v>
      </c>
      <c r="F10" s="257">
        <v>10</v>
      </c>
      <c r="G10" s="258">
        <f t="shared" si="0"/>
        <v>1511.46</v>
      </c>
      <c r="H10" s="257">
        <v>0</v>
      </c>
      <c r="I10" s="257">
        <v>0</v>
      </c>
      <c r="J10" s="257">
        <v>0</v>
      </c>
      <c r="K10" s="257">
        <v>0</v>
      </c>
      <c r="L10" s="257">
        <v>0</v>
      </c>
      <c r="M10" s="258">
        <f t="shared" si="1"/>
        <v>0</v>
      </c>
      <c r="N10" s="257">
        <v>556.4</v>
      </c>
      <c r="O10" s="315">
        <v>0</v>
      </c>
      <c r="P10" s="257">
        <v>0</v>
      </c>
      <c r="Q10" s="257">
        <v>0</v>
      </c>
      <c r="R10" s="257">
        <v>0</v>
      </c>
      <c r="S10" s="257">
        <v>500</v>
      </c>
      <c r="T10" s="257">
        <v>0</v>
      </c>
      <c r="U10" s="257">
        <v>0</v>
      </c>
      <c r="V10" s="315">
        <v>0</v>
      </c>
      <c r="W10" s="258">
        <f t="shared" si="2"/>
        <v>500</v>
      </c>
      <c r="X10" s="261">
        <f t="shared" si="3"/>
        <v>2567.86</v>
      </c>
      <c r="Y10" s="257">
        <v>0</v>
      </c>
      <c r="Z10" s="257">
        <v>0</v>
      </c>
      <c r="AA10" s="257">
        <v>1073.4100000000001</v>
      </c>
      <c r="AB10" s="257">
        <v>0</v>
      </c>
      <c r="AC10" s="261">
        <f t="shared" si="4"/>
        <v>1073.4100000000001</v>
      </c>
      <c r="AD10" s="257">
        <f t="shared" si="5"/>
        <v>3641.2700000000004</v>
      </c>
      <c r="AE10" s="257"/>
    </row>
    <row r="11" spans="1:31" ht="15" customHeight="1" x14ac:dyDescent="0.2">
      <c r="A11" s="265" t="s">
        <v>59</v>
      </c>
      <c r="B11" s="254"/>
      <c r="C11" s="254"/>
      <c r="D11" s="254"/>
      <c r="E11" s="254"/>
      <c r="F11" s="254"/>
      <c r="G11" s="255">
        <f t="shared" si="0"/>
        <v>0</v>
      </c>
      <c r="H11" s="254"/>
      <c r="I11" s="254"/>
      <c r="J11" s="254"/>
      <c r="K11" s="256">
        <v>250</v>
      </c>
      <c r="L11" s="254"/>
      <c r="M11" s="255">
        <f t="shared" si="1"/>
        <v>250</v>
      </c>
      <c r="N11" s="254"/>
      <c r="O11" s="317"/>
      <c r="P11" s="254"/>
      <c r="Q11" s="254"/>
      <c r="R11" s="254"/>
      <c r="S11" s="254"/>
      <c r="T11" s="254"/>
      <c r="U11" s="254"/>
      <c r="V11" s="320"/>
      <c r="W11" s="255">
        <f t="shared" si="2"/>
        <v>0</v>
      </c>
      <c r="X11" s="260">
        <f t="shared" si="3"/>
        <v>250</v>
      </c>
      <c r="Y11" s="254"/>
      <c r="Z11" s="254"/>
      <c r="AA11" s="256">
        <v>2044.46</v>
      </c>
      <c r="AB11" s="254"/>
      <c r="AC11" s="260">
        <f t="shared" si="4"/>
        <v>2044.46</v>
      </c>
      <c r="AD11" s="254">
        <f t="shared" si="5"/>
        <v>2294.46</v>
      </c>
      <c r="AE11" s="254"/>
    </row>
    <row r="12" spans="1:31" ht="15" customHeight="1" x14ac:dyDescent="0.2">
      <c r="A12" s="265" t="s">
        <v>179</v>
      </c>
      <c r="B12" s="254"/>
      <c r="C12" s="254"/>
      <c r="D12" s="254"/>
      <c r="E12" s="254"/>
      <c r="F12" s="254"/>
      <c r="G12" s="255">
        <f t="shared" si="0"/>
        <v>0</v>
      </c>
      <c r="H12" s="254"/>
      <c r="I12" s="254"/>
      <c r="J12" s="254"/>
      <c r="K12" s="254"/>
      <c r="L12" s="254"/>
      <c r="M12" s="255">
        <f t="shared" si="1"/>
        <v>0</v>
      </c>
      <c r="N12" s="254"/>
      <c r="O12" s="317"/>
      <c r="P12" s="254"/>
      <c r="Q12" s="254"/>
      <c r="R12" s="254"/>
      <c r="S12" s="254"/>
      <c r="T12" s="254"/>
      <c r="U12" s="254"/>
      <c r="V12" s="320"/>
      <c r="W12" s="255">
        <f t="shared" si="2"/>
        <v>0</v>
      </c>
      <c r="X12" s="260">
        <f t="shared" si="3"/>
        <v>0</v>
      </c>
      <c r="Y12" s="254"/>
      <c r="Z12" s="254"/>
      <c r="AA12" s="256">
        <v>6825.9</v>
      </c>
      <c r="AB12" s="254"/>
      <c r="AC12" s="260">
        <f t="shared" si="4"/>
        <v>6825.9</v>
      </c>
      <c r="AD12" s="254">
        <f t="shared" si="5"/>
        <v>6825.9</v>
      </c>
      <c r="AE12" s="254"/>
    </row>
    <row r="13" spans="1:31" ht="15" customHeight="1" x14ac:dyDescent="0.2">
      <c r="A13" s="265" t="s">
        <v>60</v>
      </c>
      <c r="B13" s="254"/>
      <c r="C13" s="254"/>
      <c r="D13" s="254"/>
      <c r="E13" s="254"/>
      <c r="F13" s="254"/>
      <c r="G13" s="255">
        <f t="shared" si="0"/>
        <v>0</v>
      </c>
      <c r="H13" s="254"/>
      <c r="I13" s="254"/>
      <c r="J13" s="254"/>
      <c r="K13" s="254"/>
      <c r="L13" s="254"/>
      <c r="M13" s="255">
        <f t="shared" si="1"/>
        <v>0</v>
      </c>
      <c r="N13" s="254"/>
      <c r="O13" s="317"/>
      <c r="P13" s="254"/>
      <c r="Q13" s="254"/>
      <c r="R13" s="254"/>
      <c r="S13" s="254"/>
      <c r="T13" s="254"/>
      <c r="U13" s="254"/>
      <c r="V13" s="320"/>
      <c r="W13" s="255">
        <f t="shared" si="2"/>
        <v>0</v>
      </c>
      <c r="X13" s="260">
        <f t="shared" si="3"/>
        <v>0</v>
      </c>
      <c r="Y13" s="254"/>
      <c r="Z13" s="256">
        <v>176.15</v>
      </c>
      <c r="AA13" s="256">
        <v>19962.240000000002</v>
      </c>
      <c r="AB13" s="254"/>
      <c r="AC13" s="260">
        <f t="shared" si="4"/>
        <v>20138.390000000003</v>
      </c>
      <c r="AD13" s="254">
        <f t="shared" si="5"/>
        <v>20138.390000000003</v>
      </c>
      <c r="AE13" s="256"/>
    </row>
    <row r="14" spans="1:31" ht="15" customHeight="1" x14ac:dyDescent="0.2">
      <c r="A14" s="265" t="s">
        <v>61</v>
      </c>
      <c r="B14" s="254"/>
      <c r="C14" s="254"/>
      <c r="D14" s="254"/>
      <c r="E14" s="254"/>
      <c r="F14" s="254"/>
      <c r="G14" s="255">
        <f t="shared" si="0"/>
        <v>0</v>
      </c>
      <c r="H14" s="254"/>
      <c r="I14" s="254"/>
      <c r="J14" s="254"/>
      <c r="K14" s="254"/>
      <c r="L14" s="254"/>
      <c r="M14" s="255">
        <f t="shared" si="1"/>
        <v>0</v>
      </c>
      <c r="N14" s="254"/>
      <c r="O14" s="317"/>
      <c r="P14" s="254"/>
      <c r="Q14" s="254"/>
      <c r="R14" s="254"/>
      <c r="S14" s="254"/>
      <c r="T14" s="254"/>
      <c r="U14" s="254"/>
      <c r="V14" s="320"/>
      <c r="W14" s="255">
        <f t="shared" si="2"/>
        <v>0</v>
      </c>
      <c r="X14" s="260">
        <f t="shared" si="3"/>
        <v>0</v>
      </c>
      <c r="Y14" s="254"/>
      <c r="Z14" s="254"/>
      <c r="AA14" s="256">
        <v>2528.8000000000002</v>
      </c>
      <c r="AB14" s="254"/>
      <c r="AC14" s="260">
        <f t="shared" si="4"/>
        <v>2528.8000000000002</v>
      </c>
      <c r="AD14" s="254">
        <f t="shared" si="5"/>
        <v>2528.8000000000002</v>
      </c>
      <c r="AE14" s="254"/>
    </row>
    <row r="15" spans="1:31" ht="12.75" x14ac:dyDescent="0.2">
      <c r="A15" s="265" t="s">
        <v>172</v>
      </c>
      <c r="B15" s="254"/>
      <c r="C15" s="254"/>
      <c r="D15" s="254"/>
      <c r="E15" s="254"/>
      <c r="F15" s="254"/>
      <c r="G15" s="255">
        <f t="shared" si="0"/>
        <v>0</v>
      </c>
      <c r="H15" s="254"/>
      <c r="I15" s="254"/>
      <c r="J15" s="254"/>
      <c r="K15" s="254"/>
      <c r="L15" s="254"/>
      <c r="M15" s="255">
        <f t="shared" si="1"/>
        <v>0</v>
      </c>
      <c r="N15" s="254"/>
      <c r="O15" s="317"/>
      <c r="P15" s="254"/>
      <c r="Q15" s="254"/>
      <c r="R15" s="254"/>
      <c r="S15" s="254"/>
      <c r="T15" s="254"/>
      <c r="U15" s="254"/>
      <c r="V15" s="320"/>
      <c r="W15" s="255">
        <f t="shared" si="2"/>
        <v>0</v>
      </c>
      <c r="X15" s="260">
        <f t="shared" si="3"/>
        <v>0</v>
      </c>
      <c r="Y15" s="254"/>
      <c r="Z15" s="254"/>
      <c r="AA15" s="256">
        <v>4005.59</v>
      </c>
      <c r="AB15" s="254"/>
      <c r="AC15" s="260">
        <f t="shared" si="4"/>
        <v>4005.59</v>
      </c>
      <c r="AD15" s="254">
        <f t="shared" si="5"/>
        <v>4005.59</v>
      </c>
      <c r="AE15" s="254"/>
    </row>
    <row r="16" spans="1:31" ht="15" customHeight="1" x14ac:dyDescent="0.2">
      <c r="A16" s="265" t="s">
        <v>62</v>
      </c>
      <c r="B16" s="257">
        <v>0</v>
      </c>
      <c r="C16" s="257">
        <v>0</v>
      </c>
      <c r="D16" s="257">
        <v>0</v>
      </c>
      <c r="E16" s="257">
        <v>0</v>
      </c>
      <c r="F16" s="257">
        <v>0</v>
      </c>
      <c r="G16" s="258">
        <f t="shared" si="0"/>
        <v>0</v>
      </c>
      <c r="H16" s="257">
        <v>0</v>
      </c>
      <c r="I16" s="257">
        <v>0</v>
      </c>
      <c r="J16" s="257">
        <v>0</v>
      </c>
      <c r="K16" s="257">
        <v>250</v>
      </c>
      <c r="L16" s="257">
        <v>0</v>
      </c>
      <c r="M16" s="258">
        <f t="shared" si="1"/>
        <v>250</v>
      </c>
      <c r="N16" s="257">
        <v>0</v>
      </c>
      <c r="O16" s="315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315">
        <v>0</v>
      </c>
      <c r="W16" s="258">
        <f t="shared" si="2"/>
        <v>0</v>
      </c>
      <c r="X16" s="261">
        <f t="shared" si="3"/>
        <v>250</v>
      </c>
      <c r="Y16" s="257">
        <v>0</v>
      </c>
      <c r="Z16" s="257">
        <v>176.15</v>
      </c>
      <c r="AA16" s="257">
        <v>35366.990000000005</v>
      </c>
      <c r="AB16" s="257">
        <v>0</v>
      </c>
      <c r="AC16" s="261">
        <f t="shared" si="4"/>
        <v>35543.140000000007</v>
      </c>
      <c r="AD16" s="257">
        <f t="shared" si="5"/>
        <v>35793.140000000007</v>
      </c>
      <c r="AE16" s="257"/>
    </row>
    <row r="17" spans="1:31" ht="15" customHeight="1" x14ac:dyDescent="0.2">
      <c r="A17" s="265" t="s">
        <v>63</v>
      </c>
      <c r="B17" s="254"/>
      <c r="C17" s="254"/>
      <c r="D17" s="254"/>
      <c r="E17" s="254"/>
      <c r="F17" s="254"/>
      <c r="G17" s="255">
        <f t="shared" si="0"/>
        <v>0</v>
      </c>
      <c r="H17" s="254"/>
      <c r="I17" s="254"/>
      <c r="J17" s="254"/>
      <c r="K17" s="254"/>
      <c r="L17" s="254"/>
      <c r="M17" s="255">
        <f t="shared" si="1"/>
        <v>0</v>
      </c>
      <c r="N17" s="254"/>
      <c r="O17" s="317"/>
      <c r="P17" s="254"/>
      <c r="Q17" s="254"/>
      <c r="R17" s="254"/>
      <c r="S17" s="254"/>
      <c r="T17" s="254"/>
      <c r="U17" s="254"/>
      <c r="V17" s="320"/>
      <c r="W17" s="255">
        <f t="shared" si="2"/>
        <v>0</v>
      </c>
      <c r="X17" s="260">
        <f t="shared" si="3"/>
        <v>0</v>
      </c>
      <c r="Y17" s="254"/>
      <c r="Z17" s="254"/>
      <c r="AA17" s="254"/>
      <c r="AB17" s="254"/>
      <c r="AC17" s="260">
        <f t="shared" si="4"/>
        <v>0</v>
      </c>
      <c r="AD17" s="254">
        <f t="shared" si="5"/>
        <v>0</v>
      </c>
      <c r="AE17" s="254"/>
    </row>
    <row r="18" spans="1:31" ht="15" customHeight="1" x14ac:dyDescent="0.2">
      <c r="A18" s="265" t="s">
        <v>64</v>
      </c>
      <c r="B18" s="254"/>
      <c r="C18" s="254"/>
      <c r="D18" s="254"/>
      <c r="E18" s="254"/>
      <c r="F18" s="254"/>
      <c r="G18" s="255">
        <f t="shared" si="0"/>
        <v>0</v>
      </c>
      <c r="H18" s="254"/>
      <c r="I18" s="254"/>
      <c r="J18" s="254"/>
      <c r="K18" s="254"/>
      <c r="L18" s="254"/>
      <c r="M18" s="255">
        <f t="shared" si="1"/>
        <v>0</v>
      </c>
      <c r="N18" s="254"/>
      <c r="O18" s="317"/>
      <c r="P18" s="256">
        <v>30</v>
      </c>
      <c r="Q18" s="254"/>
      <c r="R18" s="256">
        <v>29</v>
      </c>
      <c r="S18" s="254"/>
      <c r="T18" s="254"/>
      <c r="U18" s="254"/>
      <c r="V18" s="320"/>
      <c r="W18" s="255">
        <f t="shared" si="2"/>
        <v>59</v>
      </c>
      <c r="X18" s="260">
        <f t="shared" si="3"/>
        <v>59</v>
      </c>
      <c r="Y18" s="254"/>
      <c r="Z18" s="254"/>
      <c r="AA18" s="254"/>
      <c r="AB18" s="254"/>
      <c r="AC18" s="260">
        <f t="shared" si="4"/>
        <v>0</v>
      </c>
      <c r="AD18" s="254">
        <f t="shared" si="5"/>
        <v>59</v>
      </c>
      <c r="AE18" s="254"/>
    </row>
    <row r="19" spans="1:31" ht="15" customHeight="1" x14ac:dyDescent="0.2">
      <c r="A19" s="265" t="s">
        <v>65</v>
      </c>
      <c r="B19" s="254"/>
      <c r="C19" s="254"/>
      <c r="D19" s="254"/>
      <c r="E19" s="254"/>
      <c r="F19" s="254"/>
      <c r="G19" s="255">
        <f t="shared" si="0"/>
        <v>0</v>
      </c>
      <c r="H19" s="254"/>
      <c r="I19" s="256">
        <v>46</v>
      </c>
      <c r="J19" s="256"/>
      <c r="K19" s="254"/>
      <c r="L19" s="254"/>
      <c r="M19" s="255">
        <f t="shared" si="1"/>
        <v>46</v>
      </c>
      <c r="N19" s="254"/>
      <c r="O19" s="317"/>
      <c r="P19" s="254"/>
      <c r="Q19" s="254"/>
      <c r="R19" s="254"/>
      <c r="S19" s="254"/>
      <c r="T19" s="254"/>
      <c r="U19" s="254"/>
      <c r="V19" s="320"/>
      <c r="W19" s="255">
        <f t="shared" si="2"/>
        <v>0</v>
      </c>
      <c r="X19" s="260">
        <f t="shared" si="3"/>
        <v>46</v>
      </c>
      <c r="Y19" s="254"/>
      <c r="Z19" s="254"/>
      <c r="AA19" s="254"/>
      <c r="AB19" s="254"/>
      <c r="AC19" s="260">
        <f t="shared" si="4"/>
        <v>0</v>
      </c>
      <c r="AD19" s="254">
        <f t="shared" si="5"/>
        <v>46</v>
      </c>
      <c r="AE19" s="254"/>
    </row>
    <row r="20" spans="1:31" ht="15" customHeight="1" x14ac:dyDescent="0.2">
      <c r="A20" s="265" t="s">
        <v>433</v>
      </c>
      <c r="B20" s="254"/>
      <c r="C20" s="254"/>
      <c r="D20" s="254"/>
      <c r="E20" s="254"/>
      <c r="F20" s="254"/>
      <c r="G20" s="255">
        <f t="shared" si="0"/>
        <v>0</v>
      </c>
      <c r="H20" s="254"/>
      <c r="I20" s="254"/>
      <c r="J20" s="254"/>
      <c r="K20" s="256">
        <v>173.6</v>
      </c>
      <c r="L20" s="254"/>
      <c r="M20" s="255">
        <f t="shared" si="1"/>
        <v>173.6</v>
      </c>
      <c r="N20" s="254"/>
      <c r="O20" s="317"/>
      <c r="P20" s="254"/>
      <c r="Q20" s="254"/>
      <c r="R20" s="254"/>
      <c r="S20" s="254"/>
      <c r="T20" s="254"/>
      <c r="U20" s="254"/>
      <c r="V20" s="320"/>
      <c r="W20" s="255">
        <f t="shared" si="2"/>
        <v>0</v>
      </c>
      <c r="X20" s="260">
        <f t="shared" si="3"/>
        <v>173.6</v>
      </c>
      <c r="Y20" s="254"/>
      <c r="Z20" s="254"/>
      <c r="AA20" s="254"/>
      <c r="AB20" s="254"/>
      <c r="AC20" s="260">
        <f t="shared" si="4"/>
        <v>0</v>
      </c>
      <c r="AD20" s="254">
        <f t="shared" si="5"/>
        <v>173.6</v>
      </c>
      <c r="AE20" s="254"/>
    </row>
    <row r="21" spans="1:31" ht="15" customHeight="1" x14ac:dyDescent="0.2">
      <c r="A21" s="265" t="s">
        <v>463</v>
      </c>
      <c r="B21" s="254"/>
      <c r="C21" s="254"/>
      <c r="D21" s="254"/>
      <c r="E21" s="254"/>
      <c r="F21" s="254"/>
      <c r="G21" s="255">
        <f t="shared" si="0"/>
        <v>0</v>
      </c>
      <c r="H21" s="254"/>
      <c r="I21" s="254"/>
      <c r="J21" s="254"/>
      <c r="K21" s="254"/>
      <c r="L21" s="254"/>
      <c r="M21" s="255">
        <f t="shared" si="1"/>
        <v>0</v>
      </c>
      <c r="N21" s="254"/>
      <c r="O21" s="317">
        <v>497.85</v>
      </c>
      <c r="P21" s="256">
        <v>316.75</v>
      </c>
      <c r="Q21" s="254"/>
      <c r="R21" s="256">
        <v>75</v>
      </c>
      <c r="S21" s="254"/>
      <c r="T21" s="254"/>
      <c r="U21" s="256">
        <v>153</v>
      </c>
      <c r="V21" s="320"/>
      <c r="W21" s="255">
        <f t="shared" si="2"/>
        <v>1042.5999999999999</v>
      </c>
      <c r="X21" s="260">
        <f t="shared" si="3"/>
        <v>1042.5999999999999</v>
      </c>
      <c r="Y21" s="254"/>
      <c r="Z21" s="254"/>
      <c r="AA21" s="254"/>
      <c r="AB21" s="254"/>
      <c r="AC21" s="260">
        <f t="shared" si="4"/>
        <v>0</v>
      </c>
      <c r="AD21" s="254">
        <f t="shared" si="5"/>
        <v>1042.5999999999999</v>
      </c>
      <c r="AE21" s="254"/>
    </row>
    <row r="22" spans="1:31" ht="15" customHeight="1" x14ac:dyDescent="0.2">
      <c r="A22" s="265" t="s">
        <v>66</v>
      </c>
      <c r="B22" s="257">
        <v>0</v>
      </c>
      <c r="C22" s="257">
        <v>0</v>
      </c>
      <c r="D22" s="257">
        <v>0</v>
      </c>
      <c r="E22" s="257">
        <v>0</v>
      </c>
      <c r="F22" s="257">
        <v>0</v>
      </c>
      <c r="G22" s="258">
        <f t="shared" si="0"/>
        <v>0</v>
      </c>
      <c r="H22" s="257">
        <v>0</v>
      </c>
      <c r="I22" s="257">
        <v>46</v>
      </c>
      <c r="J22" s="257">
        <v>0</v>
      </c>
      <c r="K22" s="257">
        <v>173.6</v>
      </c>
      <c r="L22" s="257">
        <v>0</v>
      </c>
      <c r="M22" s="258">
        <f t="shared" si="1"/>
        <v>219.6</v>
      </c>
      <c r="N22" s="257">
        <v>0</v>
      </c>
      <c r="O22" s="315">
        <v>497.85</v>
      </c>
      <c r="P22" s="257">
        <v>346.75</v>
      </c>
      <c r="Q22" s="257">
        <v>0</v>
      </c>
      <c r="R22" s="257">
        <v>104</v>
      </c>
      <c r="S22" s="257">
        <v>0</v>
      </c>
      <c r="T22" s="257">
        <v>0</v>
      </c>
      <c r="U22" s="257">
        <v>153</v>
      </c>
      <c r="V22" s="315">
        <v>0</v>
      </c>
      <c r="W22" s="258">
        <f t="shared" si="2"/>
        <v>1101.5999999999999</v>
      </c>
      <c r="X22" s="261">
        <f t="shared" si="3"/>
        <v>1321.1999999999998</v>
      </c>
      <c r="Y22" s="257">
        <v>0</v>
      </c>
      <c r="Z22" s="257">
        <v>0</v>
      </c>
      <c r="AA22" s="257">
        <v>0</v>
      </c>
      <c r="AB22" s="257">
        <v>0</v>
      </c>
      <c r="AC22" s="261">
        <f t="shared" si="4"/>
        <v>0</v>
      </c>
      <c r="AD22" s="257">
        <f t="shared" si="5"/>
        <v>1321.1999999999998</v>
      </c>
      <c r="AE22" s="257"/>
    </row>
    <row r="23" spans="1:31" ht="15" customHeight="1" x14ac:dyDescent="0.2">
      <c r="A23" s="265" t="s">
        <v>67</v>
      </c>
      <c r="B23" s="254"/>
      <c r="C23" s="254"/>
      <c r="D23" s="254"/>
      <c r="E23" s="256">
        <v>1200</v>
      </c>
      <c r="F23" s="256"/>
      <c r="G23" s="255">
        <f t="shared" si="0"/>
        <v>1200</v>
      </c>
      <c r="H23" s="254"/>
      <c r="I23" s="254"/>
      <c r="J23" s="254"/>
      <c r="K23" s="256"/>
      <c r="L23" s="254"/>
      <c r="M23" s="255">
        <f t="shared" si="1"/>
        <v>0</v>
      </c>
      <c r="N23" s="256">
        <v>3000</v>
      </c>
      <c r="O23" s="318"/>
      <c r="P23" s="254"/>
      <c r="Q23" s="254"/>
      <c r="R23" s="256">
        <v>675</v>
      </c>
      <c r="S23" s="254"/>
      <c r="T23" s="254"/>
      <c r="U23" s="254"/>
      <c r="V23" s="320"/>
      <c r="W23" s="255">
        <f t="shared" si="2"/>
        <v>675</v>
      </c>
      <c r="X23" s="260">
        <f t="shared" si="3"/>
        <v>4875</v>
      </c>
      <c r="Y23" s="254"/>
      <c r="Z23" s="254"/>
      <c r="AA23" s="254"/>
      <c r="AB23" s="254"/>
      <c r="AC23" s="260">
        <f t="shared" si="4"/>
        <v>0</v>
      </c>
      <c r="AD23" s="254">
        <f t="shared" si="5"/>
        <v>4875</v>
      </c>
      <c r="AE23" s="254"/>
    </row>
    <row r="24" spans="1:31" ht="15" customHeight="1" x14ac:dyDescent="0.2">
      <c r="A24" s="265" t="s">
        <v>68</v>
      </c>
      <c r="B24" s="254"/>
      <c r="C24" s="256">
        <v>9.34</v>
      </c>
      <c r="D24" s="254"/>
      <c r="E24" s="256">
        <v>40.119999999999997</v>
      </c>
      <c r="F24" s="256">
        <v>76.75</v>
      </c>
      <c r="G24" s="255">
        <f t="shared" si="0"/>
        <v>126.21</v>
      </c>
      <c r="H24" s="254"/>
      <c r="I24" s="254"/>
      <c r="J24" s="254"/>
      <c r="K24" s="254"/>
      <c r="L24" s="254"/>
      <c r="M24" s="255">
        <f t="shared" si="1"/>
        <v>0</v>
      </c>
      <c r="N24" s="256">
        <v>1093.29</v>
      </c>
      <c r="O24" s="317"/>
      <c r="P24" s="254"/>
      <c r="Q24" s="254"/>
      <c r="R24" s="254"/>
      <c r="S24" s="254"/>
      <c r="T24" s="254"/>
      <c r="U24" s="254"/>
      <c r="V24" s="320"/>
      <c r="W24" s="255">
        <f t="shared" si="2"/>
        <v>0</v>
      </c>
      <c r="X24" s="260">
        <f t="shared" si="3"/>
        <v>1219.5</v>
      </c>
      <c r="Y24" s="254"/>
      <c r="Z24" s="254"/>
      <c r="AA24" s="256">
        <v>1634.16</v>
      </c>
      <c r="AB24" s="254"/>
      <c r="AC24" s="260">
        <f t="shared" si="4"/>
        <v>1634.16</v>
      </c>
      <c r="AD24" s="254">
        <f t="shared" si="5"/>
        <v>2853.66</v>
      </c>
      <c r="AE24" s="254"/>
    </row>
    <row r="25" spans="1:31" ht="15" customHeight="1" x14ac:dyDescent="0.2">
      <c r="A25" s="265" t="s">
        <v>464</v>
      </c>
      <c r="B25" s="254"/>
      <c r="C25" s="254"/>
      <c r="D25" s="254"/>
      <c r="E25" s="256"/>
      <c r="F25" s="254"/>
      <c r="G25" s="255">
        <f t="shared" si="0"/>
        <v>0</v>
      </c>
      <c r="H25" s="254"/>
      <c r="I25" s="254"/>
      <c r="J25" s="254"/>
      <c r="K25" s="254"/>
      <c r="L25" s="254"/>
      <c r="M25" s="255">
        <f t="shared" si="1"/>
        <v>0</v>
      </c>
      <c r="N25" s="254"/>
      <c r="O25" s="317"/>
      <c r="P25" s="254"/>
      <c r="Q25" s="254"/>
      <c r="R25" s="254"/>
      <c r="S25" s="254"/>
      <c r="T25" s="254"/>
      <c r="U25" s="254"/>
      <c r="V25" s="320"/>
      <c r="W25" s="255">
        <f t="shared" si="2"/>
        <v>0</v>
      </c>
      <c r="X25" s="260">
        <f t="shared" si="3"/>
        <v>0</v>
      </c>
      <c r="Y25" s="254"/>
      <c r="Z25" s="254"/>
      <c r="AA25" s="254"/>
      <c r="AB25" s="254"/>
      <c r="AC25" s="260">
        <f t="shared" si="4"/>
        <v>0</v>
      </c>
      <c r="AD25" s="254">
        <f t="shared" si="5"/>
        <v>0</v>
      </c>
      <c r="AE25" s="254"/>
    </row>
    <row r="26" spans="1:31" ht="15" customHeight="1" x14ac:dyDescent="0.2">
      <c r="A26" s="265" t="s">
        <v>69</v>
      </c>
      <c r="B26" s="254"/>
      <c r="C26" s="254"/>
      <c r="D26" s="254"/>
      <c r="E26" s="254"/>
      <c r="F26" s="254"/>
      <c r="G26" s="255">
        <f t="shared" si="0"/>
        <v>0</v>
      </c>
      <c r="H26" s="254"/>
      <c r="I26" s="254"/>
      <c r="J26" s="254"/>
      <c r="K26" s="254"/>
      <c r="L26" s="254"/>
      <c r="M26" s="255">
        <f t="shared" si="1"/>
        <v>0</v>
      </c>
      <c r="N26" s="254"/>
      <c r="O26" s="317"/>
      <c r="P26" s="254"/>
      <c r="Q26" s="254"/>
      <c r="R26" s="254"/>
      <c r="S26" s="254"/>
      <c r="T26" s="254"/>
      <c r="U26" s="254"/>
      <c r="V26" s="321">
        <v>524.30999999999995</v>
      </c>
      <c r="W26" s="255">
        <f t="shared" si="2"/>
        <v>524.30999999999995</v>
      </c>
      <c r="X26" s="260">
        <f t="shared" si="3"/>
        <v>524.30999999999995</v>
      </c>
      <c r="Y26" s="254"/>
      <c r="Z26" s="254"/>
      <c r="AA26" s="256">
        <v>20</v>
      </c>
      <c r="AB26" s="254"/>
      <c r="AC26" s="260">
        <f t="shared" si="4"/>
        <v>20</v>
      </c>
      <c r="AD26" s="254">
        <f t="shared" si="5"/>
        <v>544.30999999999995</v>
      </c>
      <c r="AE26" s="254"/>
    </row>
    <row r="27" spans="1:31" ht="15" customHeight="1" x14ac:dyDescent="0.2">
      <c r="A27" s="265" t="s">
        <v>70</v>
      </c>
      <c r="B27" s="257">
        <v>0</v>
      </c>
      <c r="C27" s="257">
        <v>9.34</v>
      </c>
      <c r="D27" s="257">
        <v>1501.46</v>
      </c>
      <c r="E27" s="257">
        <f>SUM(E23:E26)</f>
        <v>1240.1199999999999</v>
      </c>
      <c r="F27" s="257">
        <f>F24+F10+F16+F22+F23+F25+F26</f>
        <v>86.75</v>
      </c>
      <c r="G27" s="258">
        <f t="shared" si="0"/>
        <v>2837.67</v>
      </c>
      <c r="H27" s="257">
        <v>0</v>
      </c>
      <c r="I27" s="257">
        <v>46</v>
      </c>
      <c r="J27" s="257">
        <v>0</v>
      </c>
      <c r="K27" s="257">
        <v>423.6</v>
      </c>
      <c r="L27" s="257">
        <v>0</v>
      </c>
      <c r="M27" s="258">
        <f t="shared" si="1"/>
        <v>469.6</v>
      </c>
      <c r="N27" s="257">
        <v>4649.6900000000005</v>
      </c>
      <c r="O27" s="315">
        <f>O23+O22</f>
        <v>497.85</v>
      </c>
      <c r="P27" s="257">
        <v>346.75</v>
      </c>
      <c r="Q27" s="257">
        <v>0</v>
      </c>
      <c r="R27" s="257">
        <v>779</v>
      </c>
      <c r="S27" s="257">
        <v>500</v>
      </c>
      <c r="T27" s="257">
        <v>0</v>
      </c>
      <c r="U27" s="257">
        <v>153</v>
      </c>
      <c r="V27" s="315">
        <v>524.30999999999995</v>
      </c>
      <c r="W27" s="258">
        <f t="shared" si="2"/>
        <v>2800.91</v>
      </c>
      <c r="X27" s="261">
        <f t="shared" si="3"/>
        <v>10757.87</v>
      </c>
      <c r="Y27" s="257">
        <v>0</v>
      </c>
      <c r="Z27" s="257">
        <v>176.15</v>
      </c>
      <c r="AA27" s="257">
        <v>38094.560000000012</v>
      </c>
      <c r="AB27" s="257">
        <v>0</v>
      </c>
      <c r="AC27" s="261">
        <f t="shared" si="4"/>
        <v>38270.710000000014</v>
      </c>
      <c r="AD27" s="257">
        <f t="shared" si="5"/>
        <v>49028.580000000016</v>
      </c>
      <c r="AE27" s="257"/>
    </row>
    <row r="28" spans="1:31" ht="15" customHeight="1" x14ac:dyDescent="0.2">
      <c r="A28" s="265" t="s">
        <v>71</v>
      </c>
      <c r="B28" s="257">
        <f t="shared" ref="B28:D28" si="6">B27</f>
        <v>0</v>
      </c>
      <c r="C28" s="257">
        <f t="shared" si="6"/>
        <v>9.34</v>
      </c>
      <c r="D28" s="257">
        <f t="shared" si="6"/>
        <v>1501.46</v>
      </c>
      <c r="E28" s="257">
        <f>E27</f>
        <v>1240.1199999999999</v>
      </c>
      <c r="F28" s="257">
        <f>F27</f>
        <v>86.75</v>
      </c>
      <c r="G28" s="258">
        <f t="shared" si="0"/>
        <v>2837.67</v>
      </c>
      <c r="H28" s="257">
        <v>0</v>
      </c>
      <c r="I28" s="257">
        <v>46</v>
      </c>
      <c r="J28" s="257">
        <v>0</v>
      </c>
      <c r="K28" s="257">
        <v>423.6</v>
      </c>
      <c r="L28" s="257">
        <v>0</v>
      </c>
      <c r="M28" s="258">
        <f t="shared" si="1"/>
        <v>469.6</v>
      </c>
      <c r="N28" s="257">
        <v>4649.6900000000005</v>
      </c>
      <c r="O28" s="315">
        <f>O27</f>
        <v>497.85</v>
      </c>
      <c r="P28" s="257">
        <v>346.75</v>
      </c>
      <c r="Q28" s="257">
        <v>0</v>
      </c>
      <c r="R28" s="257">
        <v>779</v>
      </c>
      <c r="S28" s="257">
        <v>500</v>
      </c>
      <c r="T28" s="257">
        <v>0</v>
      </c>
      <c r="U28" s="257">
        <v>153</v>
      </c>
      <c r="V28" s="315">
        <v>524.30999999999995</v>
      </c>
      <c r="W28" s="258">
        <f t="shared" si="2"/>
        <v>2800.91</v>
      </c>
      <c r="X28" s="261">
        <f t="shared" si="3"/>
        <v>10757.87</v>
      </c>
      <c r="Y28" s="257">
        <v>0</v>
      </c>
      <c r="Z28" s="257">
        <v>176.15</v>
      </c>
      <c r="AA28" s="257">
        <v>38094.560000000012</v>
      </c>
      <c r="AB28" s="257">
        <v>0</v>
      </c>
      <c r="AC28" s="261">
        <f t="shared" si="4"/>
        <v>38270.710000000014</v>
      </c>
      <c r="AD28" s="257">
        <f t="shared" si="5"/>
        <v>49028.580000000016</v>
      </c>
      <c r="AE28" s="257"/>
    </row>
    <row r="29" spans="1:31" ht="15" customHeight="1" x14ac:dyDescent="0.2">
      <c r="A29" s="265" t="s">
        <v>72</v>
      </c>
      <c r="B29" s="254"/>
      <c r="C29" s="254"/>
      <c r="D29" s="254"/>
      <c r="E29" s="254"/>
      <c r="F29" s="254"/>
      <c r="G29" s="255">
        <f t="shared" si="0"/>
        <v>0</v>
      </c>
      <c r="H29" s="254"/>
      <c r="I29" s="254"/>
      <c r="J29" s="254"/>
      <c r="K29" s="254"/>
      <c r="L29" s="254"/>
      <c r="M29" s="255">
        <f t="shared" si="1"/>
        <v>0</v>
      </c>
      <c r="N29" s="254"/>
      <c r="O29" s="317"/>
      <c r="P29" s="254"/>
      <c r="Q29" s="254"/>
      <c r="R29" s="254"/>
      <c r="S29" s="254"/>
      <c r="T29" s="254"/>
      <c r="U29" s="254"/>
      <c r="V29" s="320"/>
      <c r="W29" s="255">
        <f t="shared" si="2"/>
        <v>0</v>
      </c>
      <c r="X29" s="260">
        <f t="shared" si="3"/>
        <v>0</v>
      </c>
      <c r="Y29" s="254"/>
      <c r="Z29" s="254"/>
      <c r="AA29" s="254"/>
      <c r="AB29" s="254"/>
      <c r="AC29" s="260">
        <f t="shared" si="4"/>
        <v>0</v>
      </c>
      <c r="AD29" s="254">
        <f t="shared" si="5"/>
        <v>0</v>
      </c>
      <c r="AE29" s="254"/>
    </row>
    <row r="30" spans="1:31" ht="15" customHeight="1" x14ac:dyDescent="0.2">
      <c r="A30" s="265" t="s">
        <v>465</v>
      </c>
      <c r="B30" s="254"/>
      <c r="C30" s="254"/>
      <c r="D30" s="254"/>
      <c r="E30" s="254"/>
      <c r="F30" s="254"/>
      <c r="G30" s="255">
        <f t="shared" si="0"/>
        <v>0</v>
      </c>
      <c r="H30" s="254"/>
      <c r="I30" s="254"/>
      <c r="J30" s="254"/>
      <c r="K30" s="254"/>
      <c r="L30" s="254"/>
      <c r="M30" s="255">
        <f t="shared" si="1"/>
        <v>0</v>
      </c>
      <c r="N30" s="254"/>
      <c r="O30" s="317"/>
      <c r="P30" s="254"/>
      <c r="Q30" s="254"/>
      <c r="R30" s="254"/>
      <c r="S30" s="254"/>
      <c r="T30" s="254"/>
      <c r="U30" s="254"/>
      <c r="V30" s="320"/>
      <c r="W30" s="255">
        <f t="shared" si="2"/>
        <v>0</v>
      </c>
      <c r="X30" s="260">
        <f t="shared" si="3"/>
        <v>0</v>
      </c>
      <c r="Y30" s="254"/>
      <c r="Z30" s="254"/>
      <c r="AA30" s="254"/>
      <c r="AB30" s="254"/>
      <c r="AC30" s="260">
        <f t="shared" si="4"/>
        <v>0</v>
      </c>
      <c r="AD30" s="254">
        <f t="shared" si="5"/>
        <v>0</v>
      </c>
      <c r="AE30" s="254"/>
    </row>
    <row r="31" spans="1:31" ht="15" customHeight="1" x14ac:dyDescent="0.2">
      <c r="A31" s="265" t="s">
        <v>73</v>
      </c>
      <c r="B31" s="254"/>
      <c r="C31" s="254"/>
      <c r="D31" s="254"/>
      <c r="E31" s="254"/>
      <c r="F31" s="254"/>
      <c r="G31" s="255">
        <f t="shared" si="0"/>
        <v>0</v>
      </c>
      <c r="H31" s="254"/>
      <c r="I31" s="254"/>
      <c r="J31" s="254"/>
      <c r="K31" s="254"/>
      <c r="L31" s="254"/>
      <c r="M31" s="255">
        <f t="shared" si="1"/>
        <v>0</v>
      </c>
      <c r="N31" s="254"/>
      <c r="O31" s="317"/>
      <c r="P31" s="254"/>
      <c r="Q31" s="254"/>
      <c r="R31" s="254"/>
      <c r="S31" s="254"/>
      <c r="T31" s="254"/>
      <c r="U31" s="254"/>
      <c r="V31" s="320"/>
      <c r="W31" s="255">
        <f t="shared" si="2"/>
        <v>0</v>
      </c>
      <c r="X31" s="260">
        <f t="shared" si="3"/>
        <v>0</v>
      </c>
      <c r="Y31" s="254"/>
      <c r="Z31" s="254"/>
      <c r="AA31" s="256">
        <v>26826.11</v>
      </c>
      <c r="AB31" s="254"/>
      <c r="AC31" s="260">
        <f t="shared" si="4"/>
        <v>26826.11</v>
      </c>
      <c r="AD31" s="254">
        <f t="shared" si="5"/>
        <v>26826.11</v>
      </c>
      <c r="AE31" s="254"/>
    </row>
    <row r="32" spans="1:31" ht="15" customHeight="1" x14ac:dyDescent="0.2">
      <c r="A32" s="265" t="s">
        <v>74</v>
      </c>
      <c r="B32" s="254"/>
      <c r="C32" s="254"/>
      <c r="D32" s="254"/>
      <c r="E32" s="254"/>
      <c r="F32" s="254"/>
      <c r="G32" s="255">
        <f t="shared" si="0"/>
        <v>0</v>
      </c>
      <c r="H32" s="254"/>
      <c r="I32" s="254"/>
      <c r="J32" s="254"/>
      <c r="K32" s="254"/>
      <c r="L32" s="254"/>
      <c r="M32" s="255">
        <f t="shared" si="1"/>
        <v>0</v>
      </c>
      <c r="N32" s="254"/>
      <c r="O32" s="317"/>
      <c r="P32" s="254"/>
      <c r="Q32" s="254"/>
      <c r="R32" s="254"/>
      <c r="S32" s="254"/>
      <c r="T32" s="254"/>
      <c r="U32" s="254"/>
      <c r="V32" s="320"/>
      <c r="W32" s="255">
        <f t="shared" si="2"/>
        <v>0</v>
      </c>
      <c r="X32" s="260">
        <f t="shared" si="3"/>
        <v>0</v>
      </c>
      <c r="Y32" s="254"/>
      <c r="Z32" s="254"/>
      <c r="AA32" s="256">
        <v>2651.63</v>
      </c>
      <c r="AB32" s="254"/>
      <c r="AC32" s="260">
        <f t="shared" si="4"/>
        <v>2651.63</v>
      </c>
      <c r="AD32" s="254">
        <f t="shared" si="5"/>
        <v>2651.63</v>
      </c>
      <c r="AE32" s="254"/>
    </row>
    <row r="33" spans="1:31" ht="15" customHeight="1" x14ac:dyDescent="0.2">
      <c r="A33" s="265" t="s">
        <v>75</v>
      </c>
      <c r="B33" s="254"/>
      <c r="C33" s="254"/>
      <c r="D33" s="254"/>
      <c r="E33" s="254"/>
      <c r="F33" s="254"/>
      <c r="G33" s="255">
        <f t="shared" si="0"/>
        <v>0</v>
      </c>
      <c r="H33" s="254"/>
      <c r="I33" s="254"/>
      <c r="J33" s="254"/>
      <c r="K33" s="254"/>
      <c r="L33" s="254"/>
      <c r="M33" s="255">
        <f t="shared" si="1"/>
        <v>0</v>
      </c>
      <c r="N33" s="256">
        <v>1186.8499999999999</v>
      </c>
      <c r="O33" s="318">
        <v>9785.4500000000007</v>
      </c>
      <c r="P33" s="254"/>
      <c r="Q33" s="254"/>
      <c r="R33" s="254"/>
      <c r="S33" s="254"/>
      <c r="T33" s="254"/>
      <c r="U33" s="254"/>
      <c r="V33" s="321">
        <v>0</v>
      </c>
      <c r="W33" s="255">
        <f t="shared" si="2"/>
        <v>9785.4500000000007</v>
      </c>
      <c r="X33" s="260">
        <f t="shared" si="3"/>
        <v>10972.300000000001</v>
      </c>
      <c r="Y33" s="254"/>
      <c r="Z33" s="254"/>
      <c r="AA33" s="256">
        <v>-2213.2199999999998</v>
      </c>
      <c r="AB33" s="256">
        <v>0</v>
      </c>
      <c r="AC33" s="260">
        <f t="shared" si="4"/>
        <v>-2213.2199999999998</v>
      </c>
      <c r="AD33" s="254">
        <f t="shared" si="5"/>
        <v>8759.0800000000017</v>
      </c>
      <c r="AE33" s="254"/>
    </row>
    <row r="34" spans="1:31" ht="15" customHeight="1" x14ac:dyDescent="0.2">
      <c r="A34" s="265" t="s">
        <v>76</v>
      </c>
      <c r="B34" s="254"/>
      <c r="C34" s="254"/>
      <c r="D34" s="254"/>
      <c r="E34" s="254"/>
      <c r="F34" s="254"/>
      <c r="G34" s="255">
        <f t="shared" si="0"/>
        <v>0</v>
      </c>
      <c r="H34" s="254"/>
      <c r="I34" s="254"/>
      <c r="J34" s="254"/>
      <c r="K34" s="254"/>
      <c r="L34" s="254"/>
      <c r="M34" s="255">
        <f t="shared" si="1"/>
        <v>0</v>
      </c>
      <c r="N34" s="254"/>
      <c r="O34" s="318"/>
      <c r="P34" s="254"/>
      <c r="Q34" s="254"/>
      <c r="R34" s="254"/>
      <c r="S34" s="254"/>
      <c r="T34" s="256">
        <v>-278</v>
      </c>
      <c r="U34" s="254"/>
      <c r="V34" s="320"/>
      <c r="W34" s="255">
        <f t="shared" si="2"/>
        <v>-278</v>
      </c>
      <c r="X34" s="260">
        <f t="shared" si="3"/>
        <v>-278</v>
      </c>
      <c r="Y34" s="254"/>
      <c r="Z34" s="254"/>
      <c r="AA34" s="256">
        <v>3295</v>
      </c>
      <c r="AB34" s="254"/>
      <c r="AC34" s="260">
        <f t="shared" si="4"/>
        <v>3295</v>
      </c>
      <c r="AD34" s="254">
        <f t="shared" si="5"/>
        <v>3017</v>
      </c>
      <c r="AE34" s="254"/>
    </row>
    <row r="35" spans="1:31" ht="15" customHeight="1" x14ac:dyDescent="0.2">
      <c r="A35" s="265" t="s">
        <v>77</v>
      </c>
      <c r="B35" s="254"/>
      <c r="C35" s="254"/>
      <c r="D35" s="254"/>
      <c r="E35" s="254"/>
      <c r="F35" s="254"/>
      <c r="G35" s="255">
        <f t="shared" si="0"/>
        <v>0</v>
      </c>
      <c r="H35" s="254"/>
      <c r="I35" s="254"/>
      <c r="J35" s="254"/>
      <c r="K35" s="254"/>
      <c r="L35" s="254"/>
      <c r="M35" s="255">
        <f t="shared" si="1"/>
        <v>0</v>
      </c>
      <c r="N35" s="254"/>
      <c r="O35" s="318"/>
      <c r="P35" s="254"/>
      <c r="Q35" s="254"/>
      <c r="R35" s="254"/>
      <c r="S35" s="254"/>
      <c r="T35" s="254"/>
      <c r="U35" s="254"/>
      <c r="V35" s="321"/>
      <c r="W35" s="255">
        <f t="shared" si="2"/>
        <v>0</v>
      </c>
      <c r="X35" s="260">
        <f t="shared" si="3"/>
        <v>0</v>
      </c>
      <c r="Y35" s="254"/>
      <c r="Z35" s="254"/>
      <c r="AA35" s="256">
        <v>0</v>
      </c>
      <c r="AB35" s="254"/>
      <c r="AC35" s="260">
        <f t="shared" si="4"/>
        <v>0</v>
      </c>
      <c r="AD35" s="254">
        <f t="shared" si="5"/>
        <v>0</v>
      </c>
      <c r="AE35" s="254"/>
    </row>
    <row r="36" spans="1:31" ht="15" customHeight="1" x14ac:dyDescent="0.2">
      <c r="A36" s="265" t="s">
        <v>320</v>
      </c>
      <c r="B36" s="254"/>
      <c r="C36" s="254"/>
      <c r="D36" s="254"/>
      <c r="E36" s="254"/>
      <c r="F36" s="254"/>
      <c r="G36" s="255">
        <f t="shared" si="0"/>
        <v>0</v>
      </c>
      <c r="H36" s="254"/>
      <c r="I36" s="254"/>
      <c r="J36" s="254"/>
      <c r="K36" s="254"/>
      <c r="L36" s="254"/>
      <c r="M36" s="255">
        <f t="shared" si="1"/>
        <v>0</v>
      </c>
      <c r="N36" s="254"/>
      <c r="O36" s="318">
        <v>81.650000000000006</v>
      </c>
      <c r="P36" s="254"/>
      <c r="Q36" s="254"/>
      <c r="R36" s="254"/>
      <c r="S36" s="254"/>
      <c r="T36" s="254"/>
      <c r="U36" s="254"/>
      <c r="V36" s="320"/>
      <c r="W36" s="255">
        <f t="shared" si="2"/>
        <v>81.650000000000006</v>
      </c>
      <c r="X36" s="260">
        <f t="shared" si="3"/>
        <v>81.650000000000006</v>
      </c>
      <c r="Y36" s="254"/>
      <c r="Z36" s="254"/>
      <c r="AA36" s="256">
        <v>930.4</v>
      </c>
      <c r="AB36" s="254"/>
      <c r="AC36" s="260">
        <f t="shared" si="4"/>
        <v>930.4</v>
      </c>
      <c r="AD36" s="254">
        <f t="shared" si="5"/>
        <v>1012.05</v>
      </c>
      <c r="AE36" s="254"/>
    </row>
    <row r="37" spans="1:31" ht="15" customHeight="1" x14ac:dyDescent="0.2">
      <c r="A37" s="265" t="s">
        <v>466</v>
      </c>
      <c r="B37" s="257">
        <v>0</v>
      </c>
      <c r="C37" s="257">
        <v>0</v>
      </c>
      <c r="D37" s="257">
        <v>0</v>
      </c>
      <c r="E37" s="257">
        <v>0</v>
      </c>
      <c r="F37" s="257">
        <v>0</v>
      </c>
      <c r="G37" s="258">
        <f t="shared" si="0"/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258">
        <f t="shared" si="1"/>
        <v>0</v>
      </c>
      <c r="N37" s="257">
        <v>1186.8499999999999</v>
      </c>
      <c r="O37" s="315">
        <f>SUM(O30:O36)</f>
        <v>9867.1</v>
      </c>
      <c r="P37" s="315">
        <f t="shared" ref="P37:V37" si="7">SUM(P30:P36)</f>
        <v>0</v>
      </c>
      <c r="Q37" s="315">
        <f t="shared" si="7"/>
        <v>0</v>
      </c>
      <c r="R37" s="315">
        <f t="shared" si="7"/>
        <v>0</v>
      </c>
      <c r="S37" s="315">
        <f t="shared" si="7"/>
        <v>0</v>
      </c>
      <c r="T37" s="315">
        <f t="shared" si="7"/>
        <v>-278</v>
      </c>
      <c r="U37" s="315">
        <f t="shared" si="7"/>
        <v>0</v>
      </c>
      <c r="V37" s="315">
        <f t="shared" si="7"/>
        <v>0</v>
      </c>
      <c r="W37" s="258">
        <f t="shared" si="2"/>
        <v>9589.1</v>
      </c>
      <c r="X37" s="261">
        <f t="shared" si="3"/>
        <v>10775.95</v>
      </c>
      <c r="Y37" s="257">
        <v>0</v>
      </c>
      <c r="Z37" s="257">
        <v>0</v>
      </c>
      <c r="AA37" s="257">
        <v>31489.920000000002</v>
      </c>
      <c r="AB37" s="257">
        <v>0</v>
      </c>
      <c r="AC37" s="261">
        <f t="shared" si="4"/>
        <v>31489.920000000002</v>
      </c>
      <c r="AD37" s="257">
        <f t="shared" si="5"/>
        <v>42265.87</v>
      </c>
      <c r="AE37" s="257"/>
    </row>
    <row r="38" spans="1:31" ht="15" customHeight="1" x14ac:dyDescent="0.2">
      <c r="A38" s="265" t="s">
        <v>467</v>
      </c>
      <c r="B38" s="254"/>
      <c r="C38" s="254"/>
      <c r="D38" s="254"/>
      <c r="E38" s="254"/>
      <c r="F38" s="254"/>
      <c r="G38" s="255">
        <f t="shared" si="0"/>
        <v>0</v>
      </c>
      <c r="H38" s="254"/>
      <c r="I38" s="254"/>
      <c r="J38" s="254"/>
      <c r="K38" s="254"/>
      <c r="L38" s="254"/>
      <c r="M38" s="255">
        <f t="shared" si="1"/>
        <v>0</v>
      </c>
      <c r="N38" s="254"/>
      <c r="O38" s="317"/>
      <c r="P38" s="254"/>
      <c r="Q38" s="254"/>
      <c r="R38" s="254"/>
      <c r="S38" s="254"/>
      <c r="T38" s="254"/>
      <c r="U38" s="254"/>
      <c r="V38" s="320"/>
      <c r="W38" s="255">
        <f t="shared" si="2"/>
        <v>0</v>
      </c>
      <c r="X38" s="260">
        <f t="shared" si="3"/>
        <v>0</v>
      </c>
      <c r="Y38" s="254"/>
      <c r="Z38" s="254"/>
      <c r="AA38" s="254"/>
      <c r="AB38" s="254"/>
      <c r="AC38" s="260">
        <f t="shared" si="4"/>
        <v>0</v>
      </c>
      <c r="AD38" s="254">
        <f t="shared" si="5"/>
        <v>0</v>
      </c>
      <c r="AE38" s="254"/>
    </row>
    <row r="39" spans="1:31" ht="21" customHeight="1" x14ac:dyDescent="0.2">
      <c r="A39" s="265" t="s">
        <v>468</v>
      </c>
      <c r="B39" s="254"/>
      <c r="C39" s="256">
        <v>192.92</v>
      </c>
      <c r="D39" s="254"/>
      <c r="E39" s="256">
        <v>890.39</v>
      </c>
      <c r="F39" s="254"/>
      <c r="G39" s="255">
        <f t="shared" si="0"/>
        <v>1083.31</v>
      </c>
      <c r="H39" s="254"/>
      <c r="I39" s="254"/>
      <c r="J39" s="254"/>
      <c r="K39" s="256">
        <v>468.52</v>
      </c>
      <c r="L39" s="254"/>
      <c r="M39" s="255">
        <f t="shared" si="1"/>
        <v>468.52</v>
      </c>
      <c r="N39" s="254"/>
      <c r="O39" s="318">
        <v>207.64</v>
      </c>
      <c r="P39" s="256">
        <v>55.67</v>
      </c>
      <c r="Q39" s="254"/>
      <c r="R39" s="254"/>
      <c r="S39" s="254"/>
      <c r="T39" s="254"/>
      <c r="U39" s="256">
        <v>87.01</v>
      </c>
      <c r="V39" s="320"/>
      <c r="W39" s="255">
        <f t="shared" si="2"/>
        <v>350.32</v>
      </c>
      <c r="X39" s="260">
        <f t="shared" si="3"/>
        <v>1902.1499999999999</v>
      </c>
      <c r="Y39" s="254"/>
      <c r="Z39" s="254"/>
      <c r="AA39" s="254"/>
      <c r="AB39" s="254"/>
      <c r="AC39" s="260">
        <f t="shared" si="4"/>
        <v>0</v>
      </c>
      <c r="AD39" s="254">
        <f t="shared" si="5"/>
        <v>1902.1499999999999</v>
      </c>
      <c r="AE39" s="254"/>
    </row>
    <row r="40" spans="1:31" ht="15" customHeight="1" x14ac:dyDescent="0.2">
      <c r="A40" s="265" t="s">
        <v>469</v>
      </c>
      <c r="B40" s="257">
        <v>0</v>
      </c>
      <c r="C40" s="257">
        <v>192.92</v>
      </c>
      <c r="D40" s="257">
        <v>0</v>
      </c>
      <c r="E40" s="257">
        <v>890.39</v>
      </c>
      <c r="F40" s="257">
        <v>0</v>
      </c>
      <c r="G40" s="258">
        <f t="shared" si="0"/>
        <v>1083.31</v>
      </c>
      <c r="H40" s="257">
        <v>0</v>
      </c>
      <c r="I40" s="257">
        <v>0</v>
      </c>
      <c r="J40" s="257">
        <v>0</v>
      </c>
      <c r="K40" s="257">
        <v>468.52</v>
      </c>
      <c r="L40" s="257">
        <v>0</v>
      </c>
      <c r="M40" s="258">
        <f t="shared" si="1"/>
        <v>468.52</v>
      </c>
      <c r="N40" s="257">
        <v>0</v>
      </c>
      <c r="O40" s="315">
        <f>SUM(O38:O39)</f>
        <v>207.64</v>
      </c>
      <c r="P40" s="315">
        <f t="shared" ref="P40:V40" si="8">SUM(P38:P39)</f>
        <v>55.67</v>
      </c>
      <c r="Q40" s="315">
        <f t="shared" si="8"/>
        <v>0</v>
      </c>
      <c r="R40" s="315">
        <f t="shared" si="8"/>
        <v>0</v>
      </c>
      <c r="S40" s="315">
        <f t="shared" si="8"/>
        <v>0</v>
      </c>
      <c r="T40" s="315">
        <f t="shared" si="8"/>
        <v>0</v>
      </c>
      <c r="U40" s="315">
        <f t="shared" si="8"/>
        <v>87.01</v>
      </c>
      <c r="V40" s="315">
        <f t="shared" si="8"/>
        <v>0</v>
      </c>
      <c r="W40" s="258">
        <f t="shared" si="2"/>
        <v>350.32</v>
      </c>
      <c r="X40" s="261">
        <f t="shared" si="3"/>
        <v>1902.1499999999999</v>
      </c>
      <c r="Y40" s="257">
        <v>0</v>
      </c>
      <c r="Z40" s="257">
        <v>0</v>
      </c>
      <c r="AA40" s="257">
        <v>0</v>
      </c>
      <c r="AB40" s="257">
        <v>0</v>
      </c>
      <c r="AC40" s="261">
        <f t="shared" si="4"/>
        <v>0</v>
      </c>
      <c r="AD40" s="257">
        <f t="shared" si="5"/>
        <v>1902.1499999999999</v>
      </c>
      <c r="AE40" s="257"/>
    </row>
    <row r="41" spans="1:31" ht="15" customHeight="1" x14ac:dyDescent="0.2">
      <c r="A41" s="265" t="s">
        <v>78</v>
      </c>
      <c r="B41" s="254"/>
      <c r="C41" s="254"/>
      <c r="D41" s="254"/>
      <c r="E41" s="254"/>
      <c r="F41" s="254"/>
      <c r="G41" s="255">
        <f t="shared" si="0"/>
        <v>0</v>
      </c>
      <c r="H41" s="254"/>
      <c r="I41" s="254"/>
      <c r="J41" s="254"/>
      <c r="K41" s="254"/>
      <c r="L41" s="254"/>
      <c r="M41" s="255">
        <f t="shared" si="1"/>
        <v>0</v>
      </c>
      <c r="N41" s="254"/>
      <c r="O41" s="317"/>
      <c r="P41" s="254"/>
      <c r="Q41" s="254"/>
      <c r="R41" s="254"/>
      <c r="S41" s="254"/>
      <c r="T41" s="254"/>
      <c r="U41" s="254"/>
      <c r="V41" s="320"/>
      <c r="W41" s="255">
        <f t="shared" si="2"/>
        <v>0</v>
      </c>
      <c r="X41" s="260">
        <f t="shared" si="3"/>
        <v>0</v>
      </c>
      <c r="Y41" s="254"/>
      <c r="Z41" s="254"/>
      <c r="AA41" s="254"/>
      <c r="AB41" s="254"/>
      <c r="AC41" s="260">
        <f t="shared" si="4"/>
        <v>0</v>
      </c>
      <c r="AD41" s="254">
        <f t="shared" si="5"/>
        <v>0</v>
      </c>
      <c r="AE41" s="254"/>
    </row>
    <row r="42" spans="1:31" ht="15" customHeight="1" x14ac:dyDescent="0.2">
      <c r="A42" s="265" t="s">
        <v>79</v>
      </c>
      <c r="B42" s="254"/>
      <c r="C42" s="254"/>
      <c r="D42" s="254"/>
      <c r="E42" s="254"/>
      <c r="F42" s="254"/>
      <c r="G42" s="255">
        <f t="shared" si="0"/>
        <v>0</v>
      </c>
      <c r="H42" s="254"/>
      <c r="I42" s="254"/>
      <c r="J42" s="254"/>
      <c r="K42" s="254"/>
      <c r="L42" s="254"/>
      <c r="M42" s="255">
        <f t="shared" si="1"/>
        <v>0</v>
      </c>
      <c r="N42" s="256">
        <v>361.8</v>
      </c>
      <c r="O42" s="317"/>
      <c r="P42" s="254"/>
      <c r="Q42" s="254"/>
      <c r="R42" s="254"/>
      <c r="S42" s="254"/>
      <c r="T42" s="254"/>
      <c r="U42" s="254"/>
      <c r="V42" s="320"/>
      <c r="W42" s="255">
        <f t="shared" si="2"/>
        <v>0</v>
      </c>
      <c r="X42" s="260">
        <f t="shared" si="3"/>
        <v>361.8</v>
      </c>
      <c r="Y42" s="254"/>
      <c r="Z42" s="254"/>
      <c r="AA42" s="256">
        <v>56.93</v>
      </c>
      <c r="AB42" s="254"/>
      <c r="AC42" s="260">
        <f t="shared" si="4"/>
        <v>56.93</v>
      </c>
      <c r="AD42" s="254">
        <f t="shared" si="5"/>
        <v>418.73</v>
      </c>
      <c r="AE42" s="254"/>
    </row>
    <row r="43" spans="1:31" ht="15" customHeight="1" x14ac:dyDescent="0.2">
      <c r="A43" s="265" t="s">
        <v>80</v>
      </c>
      <c r="B43" s="257">
        <v>0</v>
      </c>
      <c r="C43" s="257">
        <v>0</v>
      </c>
      <c r="D43" s="257">
        <v>0</v>
      </c>
      <c r="E43" s="257">
        <v>0</v>
      </c>
      <c r="F43" s="257">
        <v>0</v>
      </c>
      <c r="G43" s="258">
        <f t="shared" si="0"/>
        <v>0</v>
      </c>
      <c r="H43" s="257">
        <v>0</v>
      </c>
      <c r="I43" s="257">
        <v>0</v>
      </c>
      <c r="J43" s="257">
        <v>0</v>
      </c>
      <c r="K43" s="257">
        <v>0</v>
      </c>
      <c r="L43" s="257">
        <v>0</v>
      </c>
      <c r="M43" s="258">
        <f t="shared" si="1"/>
        <v>0</v>
      </c>
      <c r="N43" s="257">
        <v>361.8</v>
      </c>
      <c r="O43" s="315">
        <v>0</v>
      </c>
      <c r="P43" s="257">
        <v>0</v>
      </c>
      <c r="Q43" s="257">
        <v>0</v>
      </c>
      <c r="R43" s="257">
        <v>0</v>
      </c>
      <c r="S43" s="257">
        <v>0</v>
      </c>
      <c r="T43" s="257">
        <v>0</v>
      </c>
      <c r="U43" s="257">
        <v>0</v>
      </c>
      <c r="V43" s="315">
        <v>0</v>
      </c>
      <c r="W43" s="258">
        <f t="shared" si="2"/>
        <v>0</v>
      </c>
      <c r="X43" s="261">
        <f t="shared" si="3"/>
        <v>361.8</v>
      </c>
      <c r="Y43" s="257">
        <v>0</v>
      </c>
      <c r="Z43" s="257">
        <v>0</v>
      </c>
      <c r="AA43" s="257">
        <v>56.93</v>
      </c>
      <c r="AB43" s="257">
        <v>0</v>
      </c>
      <c r="AC43" s="261">
        <f t="shared" si="4"/>
        <v>56.93</v>
      </c>
      <c r="AD43" s="257">
        <f t="shared" si="5"/>
        <v>418.73</v>
      </c>
      <c r="AE43" s="257"/>
    </row>
    <row r="44" spans="1:31" ht="15" customHeight="1" x14ac:dyDescent="0.2">
      <c r="A44" s="265" t="s">
        <v>81</v>
      </c>
      <c r="B44" s="254"/>
      <c r="C44" s="254"/>
      <c r="D44" s="254"/>
      <c r="E44" s="254"/>
      <c r="F44" s="254"/>
      <c r="G44" s="255">
        <f t="shared" si="0"/>
        <v>0</v>
      </c>
      <c r="H44" s="254"/>
      <c r="I44" s="254"/>
      <c r="J44" s="254"/>
      <c r="K44" s="254"/>
      <c r="L44" s="254"/>
      <c r="M44" s="255">
        <f t="shared" si="1"/>
        <v>0</v>
      </c>
      <c r="N44" s="254"/>
      <c r="O44" s="317"/>
      <c r="P44" s="254"/>
      <c r="Q44" s="254"/>
      <c r="R44" s="254"/>
      <c r="S44" s="254"/>
      <c r="T44" s="254"/>
      <c r="U44" s="254"/>
      <c r="V44" s="320"/>
      <c r="W44" s="255">
        <f t="shared" si="2"/>
        <v>0</v>
      </c>
      <c r="X44" s="260">
        <f t="shared" si="3"/>
        <v>0</v>
      </c>
      <c r="Y44" s="254"/>
      <c r="Z44" s="254"/>
      <c r="AA44" s="254"/>
      <c r="AB44" s="254"/>
      <c r="AC44" s="260">
        <f t="shared" si="4"/>
        <v>0</v>
      </c>
      <c r="AD44" s="254">
        <f t="shared" si="5"/>
        <v>0</v>
      </c>
      <c r="AE44" s="254"/>
    </row>
    <row r="45" spans="1:31" ht="15" customHeight="1" x14ac:dyDescent="0.2">
      <c r="A45" s="265" t="s">
        <v>82</v>
      </c>
      <c r="B45" s="254"/>
      <c r="C45" s="254"/>
      <c r="D45" s="254"/>
      <c r="E45" s="254"/>
      <c r="F45" s="254"/>
      <c r="G45" s="255">
        <f t="shared" si="0"/>
        <v>0</v>
      </c>
      <c r="H45" s="254"/>
      <c r="I45" s="254"/>
      <c r="J45" s="254"/>
      <c r="K45" s="254"/>
      <c r="L45" s="254"/>
      <c r="M45" s="255">
        <f t="shared" si="1"/>
        <v>0</v>
      </c>
      <c r="N45" s="254"/>
      <c r="O45" s="317"/>
      <c r="P45" s="254"/>
      <c r="Q45" s="254"/>
      <c r="R45" s="254"/>
      <c r="S45" s="254"/>
      <c r="T45" s="254"/>
      <c r="U45" s="254"/>
      <c r="V45" s="320"/>
      <c r="W45" s="255">
        <f t="shared" si="2"/>
        <v>0</v>
      </c>
      <c r="X45" s="260">
        <f t="shared" si="3"/>
        <v>0</v>
      </c>
      <c r="Y45" s="254"/>
      <c r="Z45" s="254"/>
      <c r="AA45" s="256">
        <v>551.20000000000005</v>
      </c>
      <c r="AB45" s="254"/>
      <c r="AC45" s="260">
        <f t="shared" si="4"/>
        <v>551.20000000000005</v>
      </c>
      <c r="AD45" s="254">
        <f t="shared" si="5"/>
        <v>551.20000000000005</v>
      </c>
      <c r="AE45" s="254"/>
    </row>
    <row r="46" spans="1:31" ht="15" customHeight="1" x14ac:dyDescent="0.2">
      <c r="A46" s="265" t="s">
        <v>83</v>
      </c>
      <c r="B46" s="254"/>
      <c r="C46" s="254"/>
      <c r="D46" s="254"/>
      <c r="E46" s="254"/>
      <c r="F46" s="254"/>
      <c r="G46" s="255">
        <f t="shared" si="0"/>
        <v>0</v>
      </c>
      <c r="H46" s="254"/>
      <c r="I46" s="254"/>
      <c r="J46" s="254"/>
      <c r="K46" s="254"/>
      <c r="L46" s="254"/>
      <c r="M46" s="255">
        <f t="shared" si="1"/>
        <v>0</v>
      </c>
      <c r="N46" s="254"/>
      <c r="O46" s="317"/>
      <c r="P46" s="254"/>
      <c r="Q46" s="254"/>
      <c r="R46" s="254"/>
      <c r="S46" s="254"/>
      <c r="T46" s="254"/>
      <c r="U46" s="254"/>
      <c r="V46" s="320"/>
      <c r="W46" s="255">
        <f t="shared" si="2"/>
        <v>0</v>
      </c>
      <c r="X46" s="260">
        <f t="shared" si="3"/>
        <v>0</v>
      </c>
      <c r="Y46" s="254"/>
      <c r="Z46" s="254"/>
      <c r="AA46" s="254"/>
      <c r="AB46" s="254"/>
      <c r="AC46" s="260">
        <f t="shared" si="4"/>
        <v>0</v>
      </c>
      <c r="AD46" s="254">
        <f t="shared" si="5"/>
        <v>0</v>
      </c>
      <c r="AE46" s="254"/>
    </row>
    <row r="47" spans="1:31" ht="15" customHeight="1" x14ac:dyDescent="0.2">
      <c r="A47" s="265" t="s">
        <v>84</v>
      </c>
      <c r="B47" s="254"/>
      <c r="C47" s="254"/>
      <c r="D47" s="254"/>
      <c r="E47" s="254"/>
      <c r="F47" s="254"/>
      <c r="G47" s="255">
        <f t="shared" si="0"/>
        <v>0</v>
      </c>
      <c r="H47" s="254"/>
      <c r="I47" s="254"/>
      <c r="J47" s="254"/>
      <c r="K47" s="254"/>
      <c r="L47" s="254"/>
      <c r="M47" s="255">
        <f t="shared" si="1"/>
        <v>0</v>
      </c>
      <c r="N47" s="254"/>
      <c r="O47" s="317"/>
      <c r="P47" s="254"/>
      <c r="Q47" s="254"/>
      <c r="R47" s="254"/>
      <c r="S47" s="254"/>
      <c r="T47" s="254"/>
      <c r="U47" s="254"/>
      <c r="V47" s="320"/>
      <c r="W47" s="255">
        <f t="shared" si="2"/>
        <v>0</v>
      </c>
      <c r="X47" s="260">
        <f t="shared" si="3"/>
        <v>0</v>
      </c>
      <c r="Y47" s="254"/>
      <c r="Z47" s="254"/>
      <c r="AA47" s="256">
        <v>2272.27</v>
      </c>
      <c r="AB47" s="254"/>
      <c r="AC47" s="260">
        <f t="shared" si="4"/>
        <v>2272.27</v>
      </c>
      <c r="AD47" s="254">
        <f t="shared" si="5"/>
        <v>2272.27</v>
      </c>
      <c r="AE47" s="254"/>
    </row>
    <row r="48" spans="1:31" ht="15" customHeight="1" x14ac:dyDescent="0.2">
      <c r="A48" s="265" t="s">
        <v>85</v>
      </c>
      <c r="B48" s="254"/>
      <c r="C48" s="254"/>
      <c r="D48" s="254"/>
      <c r="E48" s="254"/>
      <c r="F48" s="254"/>
      <c r="G48" s="255">
        <f t="shared" si="0"/>
        <v>0</v>
      </c>
      <c r="H48" s="254"/>
      <c r="I48" s="254"/>
      <c r="J48" s="254"/>
      <c r="K48" s="254"/>
      <c r="L48" s="254"/>
      <c r="M48" s="255">
        <f t="shared" si="1"/>
        <v>0</v>
      </c>
      <c r="N48" s="254"/>
      <c r="O48" s="317"/>
      <c r="P48" s="254"/>
      <c r="Q48" s="254"/>
      <c r="R48" s="254"/>
      <c r="S48" s="254"/>
      <c r="T48" s="254"/>
      <c r="U48" s="254"/>
      <c r="V48" s="320"/>
      <c r="W48" s="255">
        <f t="shared" si="2"/>
        <v>0</v>
      </c>
      <c r="X48" s="260">
        <f t="shared" si="3"/>
        <v>0</v>
      </c>
      <c r="Y48" s="254"/>
      <c r="Z48" s="254"/>
      <c r="AA48" s="256">
        <v>2008.35</v>
      </c>
      <c r="AB48" s="254"/>
      <c r="AC48" s="260">
        <f t="shared" si="4"/>
        <v>2008.35</v>
      </c>
      <c r="AD48" s="254">
        <f t="shared" si="5"/>
        <v>2008.35</v>
      </c>
      <c r="AE48" s="254"/>
    </row>
    <row r="49" spans="1:31" ht="15" customHeight="1" x14ac:dyDescent="0.2">
      <c r="A49" s="265" t="s">
        <v>86</v>
      </c>
      <c r="B49" s="254"/>
      <c r="C49" s="254"/>
      <c r="D49" s="254"/>
      <c r="E49" s="254"/>
      <c r="F49" s="254"/>
      <c r="G49" s="255">
        <f t="shared" si="0"/>
        <v>0</v>
      </c>
      <c r="H49" s="254"/>
      <c r="I49" s="254"/>
      <c r="J49" s="254"/>
      <c r="K49" s="254"/>
      <c r="L49" s="254"/>
      <c r="M49" s="255">
        <f t="shared" si="1"/>
        <v>0</v>
      </c>
      <c r="N49" s="254"/>
      <c r="O49" s="317"/>
      <c r="P49" s="254"/>
      <c r="Q49" s="254"/>
      <c r="R49" s="254"/>
      <c r="S49" s="254"/>
      <c r="T49" s="254"/>
      <c r="U49" s="254"/>
      <c r="V49" s="320"/>
      <c r="W49" s="255">
        <f t="shared" si="2"/>
        <v>0</v>
      </c>
      <c r="X49" s="260">
        <f t="shared" si="3"/>
        <v>0</v>
      </c>
      <c r="Y49" s="254"/>
      <c r="Z49" s="254"/>
      <c r="AA49" s="256">
        <v>1445.34</v>
      </c>
      <c r="AB49" s="254"/>
      <c r="AC49" s="260">
        <f t="shared" si="4"/>
        <v>1445.34</v>
      </c>
      <c r="AD49" s="254">
        <f t="shared" si="5"/>
        <v>1445.34</v>
      </c>
      <c r="AE49" s="254"/>
    </row>
    <row r="50" spans="1:31" ht="15" customHeight="1" x14ac:dyDescent="0.2">
      <c r="A50" s="265" t="s">
        <v>87</v>
      </c>
      <c r="B50" s="254"/>
      <c r="C50" s="254"/>
      <c r="D50" s="254"/>
      <c r="E50" s="254"/>
      <c r="F50" s="254"/>
      <c r="G50" s="255">
        <f t="shared" si="0"/>
        <v>0</v>
      </c>
      <c r="H50" s="254"/>
      <c r="I50" s="254"/>
      <c r="J50" s="254"/>
      <c r="K50" s="254"/>
      <c r="L50" s="254"/>
      <c r="M50" s="255">
        <f t="shared" si="1"/>
        <v>0</v>
      </c>
      <c r="N50" s="254"/>
      <c r="O50" s="317"/>
      <c r="P50" s="254"/>
      <c r="Q50" s="254"/>
      <c r="R50" s="254"/>
      <c r="S50" s="254"/>
      <c r="T50" s="254"/>
      <c r="U50" s="254"/>
      <c r="V50" s="320"/>
      <c r="W50" s="255">
        <f t="shared" si="2"/>
        <v>0</v>
      </c>
      <c r="X50" s="260">
        <f t="shared" si="3"/>
        <v>0</v>
      </c>
      <c r="Y50" s="254"/>
      <c r="Z50" s="254"/>
      <c r="AA50" s="256">
        <v>988.46</v>
      </c>
      <c r="AB50" s="254"/>
      <c r="AC50" s="260">
        <f t="shared" si="4"/>
        <v>988.46</v>
      </c>
      <c r="AD50" s="254">
        <f t="shared" si="5"/>
        <v>988.46</v>
      </c>
      <c r="AE50" s="254"/>
    </row>
    <row r="51" spans="1:31" ht="15" customHeight="1" x14ac:dyDescent="0.2">
      <c r="A51" s="265" t="s">
        <v>88</v>
      </c>
      <c r="B51" s="257">
        <v>0</v>
      </c>
      <c r="C51" s="257">
        <v>0</v>
      </c>
      <c r="D51" s="257">
        <v>0</v>
      </c>
      <c r="E51" s="257">
        <v>0</v>
      </c>
      <c r="F51" s="257">
        <v>0</v>
      </c>
      <c r="G51" s="258">
        <f t="shared" si="0"/>
        <v>0</v>
      </c>
      <c r="H51" s="257">
        <v>0</v>
      </c>
      <c r="I51" s="257">
        <v>0</v>
      </c>
      <c r="J51" s="257">
        <v>0</v>
      </c>
      <c r="K51" s="257">
        <v>0</v>
      </c>
      <c r="L51" s="257">
        <v>0</v>
      </c>
      <c r="M51" s="258">
        <f t="shared" si="1"/>
        <v>0</v>
      </c>
      <c r="N51" s="257">
        <v>0</v>
      </c>
      <c r="O51" s="315">
        <v>0</v>
      </c>
      <c r="P51" s="257">
        <v>0</v>
      </c>
      <c r="Q51" s="257">
        <v>0</v>
      </c>
      <c r="R51" s="257">
        <v>0</v>
      </c>
      <c r="S51" s="257">
        <v>0</v>
      </c>
      <c r="T51" s="257">
        <v>0</v>
      </c>
      <c r="U51" s="257">
        <v>0</v>
      </c>
      <c r="V51" s="315">
        <v>0</v>
      </c>
      <c r="W51" s="258">
        <f t="shared" si="2"/>
        <v>0</v>
      </c>
      <c r="X51" s="261">
        <f t="shared" si="3"/>
        <v>0</v>
      </c>
      <c r="Y51" s="257">
        <v>0</v>
      </c>
      <c r="Z51" s="257">
        <v>0</v>
      </c>
      <c r="AA51" s="257">
        <v>6714.42</v>
      </c>
      <c r="AB51" s="257">
        <v>0</v>
      </c>
      <c r="AC51" s="261">
        <f t="shared" si="4"/>
        <v>6714.42</v>
      </c>
      <c r="AD51" s="257">
        <f t="shared" si="5"/>
        <v>6714.42</v>
      </c>
      <c r="AE51" s="257"/>
    </row>
    <row r="52" spans="1:31" ht="15" customHeight="1" x14ac:dyDescent="0.2">
      <c r="A52" s="265" t="s">
        <v>180</v>
      </c>
      <c r="B52" s="254"/>
      <c r="C52" s="254"/>
      <c r="D52" s="254"/>
      <c r="E52" s="254"/>
      <c r="F52" s="254"/>
      <c r="G52" s="255">
        <f t="shared" si="0"/>
        <v>0</v>
      </c>
      <c r="H52" s="254"/>
      <c r="I52" s="254"/>
      <c r="J52" s="254"/>
      <c r="K52" s="254"/>
      <c r="L52" s="254"/>
      <c r="M52" s="255">
        <f t="shared" si="1"/>
        <v>0</v>
      </c>
      <c r="N52" s="254"/>
      <c r="O52" s="317"/>
      <c r="P52" s="254"/>
      <c r="Q52" s="254"/>
      <c r="R52" s="254"/>
      <c r="S52" s="254"/>
      <c r="T52" s="254"/>
      <c r="U52" s="254"/>
      <c r="V52" s="320"/>
      <c r="W52" s="255">
        <f t="shared" si="2"/>
        <v>0</v>
      </c>
      <c r="X52" s="260">
        <f t="shared" si="3"/>
        <v>0</v>
      </c>
      <c r="Y52" s="254"/>
      <c r="Z52" s="254"/>
      <c r="AA52" s="256">
        <v>735.76</v>
      </c>
      <c r="AB52" s="254"/>
      <c r="AC52" s="260">
        <f t="shared" si="4"/>
        <v>735.76</v>
      </c>
      <c r="AD52" s="254">
        <f t="shared" si="5"/>
        <v>735.76</v>
      </c>
      <c r="AE52" s="254"/>
    </row>
    <row r="53" spans="1:31" ht="15" customHeight="1" x14ac:dyDescent="0.2">
      <c r="A53" s="265" t="s">
        <v>89</v>
      </c>
      <c r="B53" s="254"/>
      <c r="C53" s="254"/>
      <c r="D53" s="254"/>
      <c r="E53" s="254"/>
      <c r="F53" s="254"/>
      <c r="G53" s="255">
        <f t="shared" si="0"/>
        <v>0</v>
      </c>
      <c r="H53" s="254"/>
      <c r="I53" s="254"/>
      <c r="J53" s="254"/>
      <c r="K53" s="254"/>
      <c r="L53" s="254"/>
      <c r="M53" s="255">
        <f t="shared" si="1"/>
        <v>0</v>
      </c>
      <c r="N53" s="254"/>
      <c r="O53" s="317"/>
      <c r="P53" s="254"/>
      <c r="Q53" s="254"/>
      <c r="R53" s="254"/>
      <c r="S53" s="254"/>
      <c r="T53" s="254"/>
      <c r="U53" s="254"/>
      <c r="V53" s="320"/>
      <c r="W53" s="255">
        <f t="shared" si="2"/>
        <v>0</v>
      </c>
      <c r="X53" s="260">
        <f t="shared" si="3"/>
        <v>0</v>
      </c>
      <c r="Y53" s="254"/>
      <c r="Z53" s="254"/>
      <c r="AA53" s="256">
        <v>109.9</v>
      </c>
      <c r="AB53" s="254"/>
      <c r="AC53" s="260">
        <f t="shared" si="4"/>
        <v>109.9</v>
      </c>
      <c r="AD53" s="254">
        <f t="shared" si="5"/>
        <v>109.9</v>
      </c>
      <c r="AE53" s="254"/>
    </row>
    <row r="54" spans="1:31" ht="15" customHeight="1" x14ac:dyDescent="0.2">
      <c r="A54" s="265" t="s">
        <v>90</v>
      </c>
      <c r="B54" s="254"/>
      <c r="C54" s="254"/>
      <c r="D54" s="254"/>
      <c r="E54" s="254"/>
      <c r="F54" s="254"/>
      <c r="G54" s="255">
        <f t="shared" si="0"/>
        <v>0</v>
      </c>
      <c r="H54" s="254"/>
      <c r="I54" s="254"/>
      <c r="J54" s="254"/>
      <c r="K54" s="254"/>
      <c r="L54" s="254"/>
      <c r="M54" s="255">
        <f t="shared" si="1"/>
        <v>0</v>
      </c>
      <c r="N54" s="254"/>
      <c r="O54" s="317"/>
      <c r="P54" s="254"/>
      <c r="Q54" s="254"/>
      <c r="R54" s="254"/>
      <c r="S54" s="254"/>
      <c r="T54" s="254"/>
      <c r="U54" s="254"/>
      <c r="V54" s="320"/>
      <c r="W54" s="255">
        <f t="shared" si="2"/>
        <v>0</v>
      </c>
      <c r="X54" s="260">
        <f t="shared" si="3"/>
        <v>0</v>
      </c>
      <c r="Y54" s="254"/>
      <c r="Z54" s="254"/>
      <c r="AA54" s="256">
        <v>1018.29</v>
      </c>
      <c r="AB54" s="254"/>
      <c r="AC54" s="260">
        <f t="shared" si="4"/>
        <v>1018.29</v>
      </c>
      <c r="AD54" s="254">
        <f t="shared" si="5"/>
        <v>1018.29</v>
      </c>
      <c r="AE54" s="254"/>
    </row>
    <row r="55" spans="1:31" ht="15" customHeight="1" x14ac:dyDescent="0.2">
      <c r="A55" s="265" t="s">
        <v>181</v>
      </c>
      <c r="B55" s="254"/>
      <c r="C55" s="254"/>
      <c r="D55" s="254"/>
      <c r="E55" s="254"/>
      <c r="F55" s="254"/>
      <c r="G55" s="255">
        <f t="shared" si="0"/>
        <v>0</v>
      </c>
      <c r="H55" s="254"/>
      <c r="I55" s="254"/>
      <c r="J55" s="254"/>
      <c r="K55" s="254"/>
      <c r="L55" s="254"/>
      <c r="M55" s="255">
        <f t="shared" si="1"/>
        <v>0</v>
      </c>
      <c r="N55" s="254"/>
      <c r="O55" s="317"/>
      <c r="P55" s="254"/>
      <c r="Q55" s="254"/>
      <c r="R55" s="254"/>
      <c r="S55" s="254"/>
      <c r="T55" s="254"/>
      <c r="U55" s="254"/>
      <c r="V55" s="320"/>
      <c r="W55" s="255">
        <f t="shared" si="2"/>
        <v>0</v>
      </c>
      <c r="X55" s="260">
        <f t="shared" si="3"/>
        <v>0</v>
      </c>
      <c r="Y55" s="254"/>
      <c r="Z55" s="254"/>
      <c r="AA55" s="256">
        <v>552</v>
      </c>
      <c r="AB55" s="254"/>
      <c r="AC55" s="260">
        <f t="shared" si="4"/>
        <v>552</v>
      </c>
      <c r="AD55" s="254">
        <f t="shared" si="5"/>
        <v>552</v>
      </c>
      <c r="AE55" s="254"/>
    </row>
    <row r="56" spans="1:31" ht="15" customHeight="1" x14ac:dyDescent="0.2">
      <c r="A56" s="265" t="s">
        <v>470</v>
      </c>
      <c r="B56" s="254"/>
      <c r="C56" s="254"/>
      <c r="D56" s="254"/>
      <c r="E56" s="254"/>
      <c r="F56" s="254"/>
      <c r="G56" s="255">
        <f t="shared" si="0"/>
        <v>0</v>
      </c>
      <c r="H56" s="254"/>
      <c r="I56" s="254"/>
      <c r="J56" s="254">
        <v>364.62</v>
      </c>
      <c r="K56" s="254"/>
      <c r="L56" s="254"/>
      <c r="M56" s="255">
        <f t="shared" si="1"/>
        <v>364.62</v>
      </c>
      <c r="N56" s="254"/>
      <c r="O56" s="317"/>
      <c r="P56" s="254"/>
      <c r="Q56" s="254"/>
      <c r="R56" s="254"/>
      <c r="S56" s="254"/>
      <c r="T56" s="254"/>
      <c r="U56" s="254"/>
      <c r="V56" s="320"/>
      <c r="W56" s="255">
        <f t="shared" si="2"/>
        <v>0</v>
      </c>
      <c r="X56" s="260">
        <f t="shared" si="3"/>
        <v>364.62</v>
      </c>
      <c r="Y56" s="254"/>
      <c r="Z56" s="254"/>
      <c r="AA56" s="256">
        <v>661.88</v>
      </c>
      <c r="AB56" s="254"/>
      <c r="AC56" s="260">
        <f t="shared" si="4"/>
        <v>661.88</v>
      </c>
      <c r="AD56" s="254">
        <f t="shared" si="5"/>
        <v>1026.5</v>
      </c>
      <c r="AE56" s="254"/>
    </row>
    <row r="57" spans="1:31" ht="15" customHeight="1" x14ac:dyDescent="0.2">
      <c r="A57" s="265" t="s">
        <v>182</v>
      </c>
      <c r="B57" s="254"/>
      <c r="C57" s="254"/>
      <c r="D57" s="254"/>
      <c r="E57" s="254"/>
      <c r="F57" s="254"/>
      <c r="G57" s="255">
        <f t="shared" si="0"/>
        <v>0</v>
      </c>
      <c r="H57" s="254"/>
      <c r="I57" s="254"/>
      <c r="J57" s="254"/>
      <c r="K57" s="254"/>
      <c r="L57" s="254"/>
      <c r="M57" s="255">
        <f t="shared" si="1"/>
        <v>0</v>
      </c>
      <c r="N57" s="254"/>
      <c r="O57" s="317"/>
      <c r="P57" s="254"/>
      <c r="Q57" s="254"/>
      <c r="R57" s="254"/>
      <c r="S57" s="254"/>
      <c r="T57" s="254"/>
      <c r="U57" s="254"/>
      <c r="V57" s="320"/>
      <c r="W57" s="255">
        <f t="shared" si="2"/>
        <v>0</v>
      </c>
      <c r="X57" s="260">
        <f t="shared" si="3"/>
        <v>0</v>
      </c>
      <c r="Y57" s="254"/>
      <c r="Z57" s="254"/>
      <c r="AA57" s="256">
        <v>84</v>
      </c>
      <c r="AB57" s="254"/>
      <c r="AC57" s="260">
        <f t="shared" si="4"/>
        <v>84</v>
      </c>
      <c r="AD57" s="254">
        <f t="shared" si="5"/>
        <v>84</v>
      </c>
      <c r="AE57" s="254"/>
    </row>
    <row r="58" spans="1:31" ht="15" customHeight="1" x14ac:dyDescent="0.2">
      <c r="A58" s="265" t="s">
        <v>91</v>
      </c>
      <c r="B58" s="257">
        <v>0</v>
      </c>
      <c r="C58" s="257">
        <v>0</v>
      </c>
      <c r="D58" s="257">
        <v>0</v>
      </c>
      <c r="E58" s="257">
        <v>0</v>
      </c>
      <c r="F58" s="257">
        <v>0</v>
      </c>
      <c r="G58" s="258">
        <f t="shared" si="0"/>
        <v>0</v>
      </c>
      <c r="H58" s="257">
        <v>0</v>
      </c>
      <c r="I58" s="257">
        <v>0</v>
      </c>
      <c r="J58" s="257">
        <v>364.62</v>
      </c>
      <c r="K58" s="257">
        <v>0</v>
      </c>
      <c r="L58" s="257">
        <v>0</v>
      </c>
      <c r="M58" s="258">
        <f t="shared" si="1"/>
        <v>364.62</v>
      </c>
      <c r="N58" s="257">
        <v>0</v>
      </c>
      <c r="O58" s="315">
        <v>0</v>
      </c>
      <c r="P58" s="257">
        <v>0</v>
      </c>
      <c r="Q58" s="257">
        <v>0</v>
      </c>
      <c r="R58" s="257">
        <v>0</v>
      </c>
      <c r="S58" s="257">
        <v>0</v>
      </c>
      <c r="T58" s="257">
        <v>0</v>
      </c>
      <c r="U58" s="257">
        <v>0</v>
      </c>
      <c r="V58" s="315">
        <v>0</v>
      </c>
      <c r="W58" s="258">
        <f t="shared" si="2"/>
        <v>0</v>
      </c>
      <c r="X58" s="261">
        <f t="shared" si="3"/>
        <v>364.62</v>
      </c>
      <c r="Y58" s="257">
        <v>0</v>
      </c>
      <c r="Z58" s="257">
        <v>0</v>
      </c>
      <c r="AA58" s="257">
        <v>2426.0700000000002</v>
      </c>
      <c r="AB58" s="257">
        <v>0</v>
      </c>
      <c r="AC58" s="261">
        <f t="shared" si="4"/>
        <v>2426.0700000000002</v>
      </c>
      <c r="AD58" s="257">
        <f t="shared" si="5"/>
        <v>2790.69</v>
      </c>
      <c r="AE58" s="257"/>
    </row>
    <row r="59" spans="1:31" ht="15" customHeight="1" x14ac:dyDescent="0.2">
      <c r="A59" s="265" t="s">
        <v>92</v>
      </c>
      <c r="B59" s="254"/>
      <c r="C59" s="254"/>
      <c r="D59" s="254"/>
      <c r="E59" s="254"/>
      <c r="F59" s="254"/>
      <c r="G59" s="255">
        <f t="shared" si="0"/>
        <v>0</v>
      </c>
      <c r="H59" s="254"/>
      <c r="I59" s="254"/>
      <c r="J59" s="254"/>
      <c r="K59" s="254"/>
      <c r="L59" s="254"/>
      <c r="M59" s="255">
        <f t="shared" si="1"/>
        <v>0</v>
      </c>
      <c r="N59" s="254"/>
      <c r="O59" s="317"/>
      <c r="P59" s="254"/>
      <c r="Q59" s="254"/>
      <c r="R59" s="254"/>
      <c r="S59" s="254"/>
      <c r="T59" s="254"/>
      <c r="U59" s="254"/>
      <c r="V59" s="320"/>
      <c r="W59" s="255">
        <f t="shared" si="2"/>
        <v>0</v>
      </c>
      <c r="X59" s="260">
        <f t="shared" si="3"/>
        <v>0</v>
      </c>
      <c r="Y59" s="254"/>
      <c r="Z59" s="254"/>
      <c r="AA59" s="256">
        <v>284.62</v>
      </c>
      <c r="AB59" s="254"/>
      <c r="AC59" s="260">
        <f t="shared" si="4"/>
        <v>284.62</v>
      </c>
      <c r="AD59" s="254">
        <f t="shared" si="5"/>
        <v>284.62</v>
      </c>
      <c r="AE59" s="254"/>
    </row>
    <row r="60" spans="1:31" ht="15" customHeight="1" x14ac:dyDescent="0.2">
      <c r="A60" s="265" t="s">
        <v>93</v>
      </c>
      <c r="B60" s="257">
        <v>0</v>
      </c>
      <c r="C60" s="257">
        <v>0</v>
      </c>
      <c r="D60" s="257">
        <v>0</v>
      </c>
      <c r="E60" s="257">
        <v>0</v>
      </c>
      <c r="F60" s="257">
        <v>0</v>
      </c>
      <c r="G60" s="258">
        <f t="shared" si="0"/>
        <v>0</v>
      </c>
      <c r="H60" s="257">
        <v>0</v>
      </c>
      <c r="I60" s="257">
        <v>0</v>
      </c>
      <c r="J60" s="257">
        <v>0</v>
      </c>
      <c r="K60" s="257">
        <v>0</v>
      </c>
      <c r="L60" s="257">
        <v>0</v>
      </c>
      <c r="M60" s="258">
        <f t="shared" si="1"/>
        <v>0</v>
      </c>
      <c r="N60" s="257">
        <v>0</v>
      </c>
      <c r="O60" s="315">
        <v>0</v>
      </c>
      <c r="P60" s="257">
        <v>0</v>
      </c>
      <c r="Q60" s="257">
        <v>0</v>
      </c>
      <c r="R60" s="257">
        <v>0</v>
      </c>
      <c r="S60" s="257">
        <v>0</v>
      </c>
      <c r="T60" s="257">
        <v>0</v>
      </c>
      <c r="U60" s="257">
        <v>0</v>
      </c>
      <c r="V60" s="315">
        <v>0</v>
      </c>
      <c r="W60" s="258">
        <f t="shared" si="2"/>
        <v>0</v>
      </c>
      <c r="X60" s="261">
        <f t="shared" si="3"/>
        <v>0</v>
      </c>
      <c r="Y60" s="257">
        <v>0</v>
      </c>
      <c r="Z60" s="257">
        <v>0</v>
      </c>
      <c r="AA60" s="257">
        <v>10712.070000000002</v>
      </c>
      <c r="AB60" s="257">
        <v>0</v>
      </c>
      <c r="AC60" s="261">
        <f t="shared" si="4"/>
        <v>10712.070000000002</v>
      </c>
      <c r="AD60" s="257">
        <f t="shared" si="5"/>
        <v>10712.070000000002</v>
      </c>
      <c r="AE60" s="257"/>
    </row>
    <row r="61" spans="1:31" ht="15" customHeight="1" x14ac:dyDescent="0.2">
      <c r="A61" s="265" t="s">
        <v>94</v>
      </c>
      <c r="B61" s="254"/>
      <c r="C61" s="254"/>
      <c r="D61" s="254"/>
      <c r="E61" s="254"/>
      <c r="F61" s="254"/>
      <c r="G61" s="255">
        <f t="shared" si="0"/>
        <v>0</v>
      </c>
      <c r="H61" s="254"/>
      <c r="I61" s="254"/>
      <c r="J61" s="254"/>
      <c r="K61" s="254"/>
      <c r="L61" s="254"/>
      <c r="M61" s="255">
        <f t="shared" si="1"/>
        <v>0</v>
      </c>
      <c r="N61" s="254"/>
      <c r="O61" s="317"/>
      <c r="P61" s="254"/>
      <c r="Q61" s="254"/>
      <c r="R61" s="254"/>
      <c r="S61" s="254"/>
      <c r="T61" s="254"/>
      <c r="U61" s="254"/>
      <c r="V61" s="320"/>
      <c r="W61" s="255">
        <f t="shared" si="2"/>
        <v>0</v>
      </c>
      <c r="X61" s="260">
        <f t="shared" si="3"/>
        <v>0</v>
      </c>
      <c r="Y61" s="254"/>
      <c r="Z61" s="254"/>
      <c r="AA61" s="254"/>
      <c r="AB61" s="254"/>
      <c r="AC61" s="260">
        <f t="shared" si="4"/>
        <v>0</v>
      </c>
      <c r="AD61" s="254">
        <f t="shared" si="5"/>
        <v>0</v>
      </c>
      <c r="AE61" s="254"/>
    </row>
    <row r="62" spans="1:31" ht="15" customHeight="1" x14ac:dyDescent="0.2">
      <c r="A62" s="265" t="s">
        <v>311</v>
      </c>
      <c r="B62" s="254"/>
      <c r="C62" s="254"/>
      <c r="D62" s="254"/>
      <c r="E62" s="254"/>
      <c r="F62" s="254"/>
      <c r="G62" s="255">
        <f t="shared" si="0"/>
        <v>0</v>
      </c>
      <c r="H62" s="254"/>
      <c r="I62" s="254"/>
      <c r="J62" s="254"/>
      <c r="K62" s="254"/>
      <c r="L62" s="254"/>
      <c r="M62" s="255">
        <f t="shared" si="1"/>
        <v>0</v>
      </c>
      <c r="N62" s="254"/>
      <c r="O62" s="317"/>
      <c r="P62" s="254"/>
      <c r="Q62" s="254"/>
      <c r="R62" s="254"/>
      <c r="S62" s="254"/>
      <c r="T62" s="254"/>
      <c r="U62" s="254"/>
      <c r="V62" s="320"/>
      <c r="W62" s="255">
        <f t="shared" si="2"/>
        <v>0</v>
      </c>
      <c r="X62" s="260">
        <f t="shared" si="3"/>
        <v>0</v>
      </c>
      <c r="Y62" s="254"/>
      <c r="Z62" s="254"/>
      <c r="AA62" s="256">
        <v>237</v>
      </c>
      <c r="AB62" s="254"/>
      <c r="AC62" s="260">
        <f t="shared" si="4"/>
        <v>237</v>
      </c>
      <c r="AD62" s="254">
        <f t="shared" si="5"/>
        <v>237</v>
      </c>
      <c r="AE62" s="254"/>
    </row>
    <row r="63" spans="1:31" ht="15" customHeight="1" x14ac:dyDescent="0.2">
      <c r="A63" s="265" t="s">
        <v>95</v>
      </c>
      <c r="B63" s="254"/>
      <c r="C63" s="254"/>
      <c r="D63" s="254"/>
      <c r="E63" s="254"/>
      <c r="F63" s="254"/>
      <c r="G63" s="255">
        <f t="shared" si="0"/>
        <v>0</v>
      </c>
      <c r="H63" s="254"/>
      <c r="I63" s="254"/>
      <c r="J63" s="254"/>
      <c r="K63" s="254"/>
      <c r="L63" s="254"/>
      <c r="M63" s="255">
        <f t="shared" si="1"/>
        <v>0</v>
      </c>
      <c r="N63" s="256">
        <v>10.88</v>
      </c>
      <c r="O63" s="317"/>
      <c r="P63" s="254"/>
      <c r="Q63" s="254"/>
      <c r="R63" s="254"/>
      <c r="S63" s="254"/>
      <c r="T63" s="254"/>
      <c r="U63" s="254"/>
      <c r="V63" s="320"/>
      <c r="W63" s="255">
        <f t="shared" si="2"/>
        <v>0</v>
      </c>
      <c r="X63" s="260">
        <f t="shared" si="3"/>
        <v>10.88</v>
      </c>
      <c r="Y63" s="254"/>
      <c r="Z63" s="254"/>
      <c r="AA63" s="256">
        <v>157.55000000000001</v>
      </c>
      <c r="AB63" s="254"/>
      <c r="AC63" s="260">
        <f t="shared" si="4"/>
        <v>157.55000000000001</v>
      </c>
      <c r="AD63" s="254">
        <f t="shared" si="5"/>
        <v>168.43</v>
      </c>
      <c r="AE63" s="254"/>
    </row>
    <row r="64" spans="1:31" ht="15" customHeight="1" x14ac:dyDescent="0.2">
      <c r="A64" s="265" t="s">
        <v>96</v>
      </c>
      <c r="B64" s="257">
        <v>0</v>
      </c>
      <c r="C64" s="257">
        <v>0</v>
      </c>
      <c r="D64" s="257">
        <v>0</v>
      </c>
      <c r="E64" s="257">
        <v>0</v>
      </c>
      <c r="F64" s="257">
        <v>0</v>
      </c>
      <c r="G64" s="258">
        <f t="shared" si="0"/>
        <v>0</v>
      </c>
      <c r="H64" s="257">
        <v>0</v>
      </c>
      <c r="I64" s="257">
        <v>0</v>
      </c>
      <c r="J64" s="257">
        <v>0</v>
      </c>
      <c r="K64" s="257">
        <v>0</v>
      </c>
      <c r="L64" s="257">
        <v>0</v>
      </c>
      <c r="M64" s="258">
        <f t="shared" si="1"/>
        <v>0</v>
      </c>
      <c r="N64" s="257">
        <v>10.88</v>
      </c>
      <c r="O64" s="315">
        <v>0</v>
      </c>
      <c r="P64" s="257">
        <v>0</v>
      </c>
      <c r="Q64" s="257">
        <v>0</v>
      </c>
      <c r="R64" s="257">
        <v>0</v>
      </c>
      <c r="S64" s="257">
        <v>0</v>
      </c>
      <c r="T64" s="257">
        <v>0</v>
      </c>
      <c r="U64" s="257">
        <v>0</v>
      </c>
      <c r="V64" s="315">
        <v>0</v>
      </c>
      <c r="W64" s="258">
        <f t="shared" si="2"/>
        <v>0</v>
      </c>
      <c r="X64" s="261">
        <f t="shared" si="3"/>
        <v>10.88</v>
      </c>
      <c r="Y64" s="257">
        <v>0</v>
      </c>
      <c r="Z64" s="257">
        <v>0</v>
      </c>
      <c r="AA64" s="257">
        <v>394.55</v>
      </c>
      <c r="AB64" s="257">
        <v>0</v>
      </c>
      <c r="AC64" s="261">
        <f t="shared" si="4"/>
        <v>394.55</v>
      </c>
      <c r="AD64" s="257">
        <f t="shared" si="5"/>
        <v>405.43</v>
      </c>
      <c r="AE64" s="257"/>
    </row>
    <row r="65" spans="1:31" ht="15" customHeight="1" x14ac:dyDescent="0.2">
      <c r="A65" s="265" t="s">
        <v>97</v>
      </c>
      <c r="B65" s="254"/>
      <c r="C65" s="254"/>
      <c r="D65" s="254"/>
      <c r="E65" s="254"/>
      <c r="F65" s="254"/>
      <c r="G65" s="255">
        <f t="shared" si="0"/>
        <v>0</v>
      </c>
      <c r="H65" s="254"/>
      <c r="I65" s="254"/>
      <c r="J65" s="254"/>
      <c r="K65" s="254"/>
      <c r="L65" s="254"/>
      <c r="M65" s="255">
        <f t="shared" si="1"/>
        <v>0</v>
      </c>
      <c r="N65" s="254"/>
      <c r="O65" s="317"/>
      <c r="P65" s="254"/>
      <c r="Q65" s="254"/>
      <c r="R65" s="254"/>
      <c r="S65" s="254"/>
      <c r="T65" s="254"/>
      <c r="U65" s="254"/>
      <c r="V65" s="320"/>
      <c r="W65" s="255">
        <f t="shared" si="2"/>
        <v>0</v>
      </c>
      <c r="X65" s="260">
        <f t="shared" si="3"/>
        <v>0</v>
      </c>
      <c r="Y65" s="254"/>
      <c r="Z65" s="254"/>
      <c r="AA65" s="254"/>
      <c r="AB65" s="254"/>
      <c r="AC65" s="260">
        <f t="shared" si="4"/>
        <v>0</v>
      </c>
      <c r="AD65" s="254">
        <f t="shared" si="5"/>
        <v>0</v>
      </c>
      <c r="AE65" s="254"/>
    </row>
    <row r="66" spans="1:31" ht="15" customHeight="1" x14ac:dyDescent="0.2">
      <c r="A66" s="265" t="s">
        <v>471</v>
      </c>
      <c r="B66" s="254"/>
      <c r="C66" s="254"/>
      <c r="D66" s="254"/>
      <c r="E66" s="254"/>
      <c r="F66" s="254"/>
      <c r="G66" s="255">
        <f t="shared" si="0"/>
        <v>0</v>
      </c>
      <c r="H66" s="254"/>
      <c r="I66" s="254"/>
      <c r="J66" s="254"/>
      <c r="K66" s="254"/>
      <c r="L66" s="254"/>
      <c r="M66" s="255">
        <f t="shared" si="1"/>
        <v>0</v>
      </c>
      <c r="N66" s="254"/>
      <c r="O66" s="317"/>
      <c r="P66" s="254"/>
      <c r="Q66" s="254"/>
      <c r="R66" s="254"/>
      <c r="S66" s="254"/>
      <c r="T66" s="254"/>
      <c r="U66" s="254"/>
      <c r="V66" s="320"/>
      <c r="W66" s="255">
        <f t="shared" si="2"/>
        <v>0</v>
      </c>
      <c r="X66" s="260">
        <f t="shared" si="3"/>
        <v>0</v>
      </c>
      <c r="Y66" s="254"/>
      <c r="Z66" s="254"/>
      <c r="AA66" s="256">
        <v>345.01</v>
      </c>
      <c r="AB66" s="254"/>
      <c r="AC66" s="260">
        <f t="shared" si="4"/>
        <v>345.01</v>
      </c>
      <c r="AD66" s="254">
        <f t="shared" si="5"/>
        <v>345.01</v>
      </c>
      <c r="AE66" s="254"/>
    </row>
    <row r="67" spans="1:31" ht="15" customHeight="1" x14ac:dyDescent="0.2">
      <c r="A67" s="265" t="s">
        <v>441</v>
      </c>
      <c r="B67" s="254"/>
      <c r="C67" s="254"/>
      <c r="D67" s="254"/>
      <c r="E67" s="254"/>
      <c r="F67" s="254"/>
      <c r="G67" s="255">
        <f t="shared" si="0"/>
        <v>0</v>
      </c>
      <c r="H67" s="254"/>
      <c r="I67" s="254"/>
      <c r="J67" s="254"/>
      <c r="K67" s="254"/>
      <c r="L67" s="254"/>
      <c r="M67" s="255">
        <f t="shared" si="1"/>
        <v>0</v>
      </c>
      <c r="N67" s="254"/>
      <c r="O67" s="317"/>
      <c r="P67" s="254"/>
      <c r="Q67" s="254"/>
      <c r="R67" s="254"/>
      <c r="S67" s="254"/>
      <c r="T67" s="254"/>
      <c r="U67" s="254"/>
      <c r="V67" s="320"/>
      <c r="W67" s="255">
        <f t="shared" si="2"/>
        <v>0</v>
      </c>
      <c r="X67" s="260">
        <f t="shared" si="3"/>
        <v>0</v>
      </c>
      <c r="Y67" s="254"/>
      <c r="Z67" s="254"/>
      <c r="AA67" s="256">
        <v>602.73</v>
      </c>
      <c r="AB67" s="254"/>
      <c r="AC67" s="260">
        <f t="shared" si="4"/>
        <v>602.73</v>
      </c>
      <c r="AD67" s="254">
        <f t="shared" si="5"/>
        <v>602.73</v>
      </c>
      <c r="AE67" s="254"/>
    </row>
    <row r="68" spans="1:31" ht="15" customHeight="1" x14ac:dyDescent="0.2">
      <c r="A68" s="265" t="s">
        <v>98</v>
      </c>
      <c r="B68" s="254"/>
      <c r="C68" s="254"/>
      <c r="D68" s="254"/>
      <c r="E68" s="254"/>
      <c r="F68" s="254"/>
      <c r="G68" s="255">
        <f t="shared" si="0"/>
        <v>0</v>
      </c>
      <c r="H68" s="254"/>
      <c r="I68" s="254"/>
      <c r="J68" s="254"/>
      <c r="K68" s="254"/>
      <c r="L68" s="254"/>
      <c r="M68" s="255">
        <f t="shared" si="1"/>
        <v>0</v>
      </c>
      <c r="N68" s="256">
        <v>209</v>
      </c>
      <c r="O68" s="317"/>
      <c r="P68" s="254"/>
      <c r="Q68" s="254"/>
      <c r="R68" s="254"/>
      <c r="S68" s="254"/>
      <c r="T68" s="254"/>
      <c r="U68" s="254"/>
      <c r="V68" s="320"/>
      <c r="W68" s="255">
        <f t="shared" si="2"/>
        <v>0</v>
      </c>
      <c r="X68" s="260">
        <f t="shared" si="3"/>
        <v>209</v>
      </c>
      <c r="Y68" s="254"/>
      <c r="Z68" s="254"/>
      <c r="AA68" s="256">
        <v>188.38</v>
      </c>
      <c r="AB68" s="254"/>
      <c r="AC68" s="260">
        <f t="shared" si="4"/>
        <v>188.38</v>
      </c>
      <c r="AD68" s="254">
        <f t="shared" si="5"/>
        <v>397.38</v>
      </c>
      <c r="AE68" s="254"/>
    </row>
    <row r="69" spans="1:31" ht="15" customHeight="1" x14ac:dyDescent="0.2">
      <c r="A69" s="265" t="s">
        <v>99</v>
      </c>
      <c r="B69" s="254"/>
      <c r="C69" s="254"/>
      <c r="D69" s="254"/>
      <c r="E69" s="254"/>
      <c r="F69" s="254"/>
      <c r="G69" s="255">
        <f t="shared" si="0"/>
        <v>0</v>
      </c>
      <c r="H69" s="254"/>
      <c r="I69" s="254"/>
      <c r="J69" s="254"/>
      <c r="K69" s="254"/>
      <c r="L69" s="254"/>
      <c r="M69" s="255">
        <f t="shared" si="1"/>
        <v>0</v>
      </c>
      <c r="N69" s="256">
        <v>40.78</v>
      </c>
      <c r="O69" s="317"/>
      <c r="P69" s="254"/>
      <c r="Q69" s="254"/>
      <c r="R69" s="254"/>
      <c r="S69" s="254"/>
      <c r="T69" s="254"/>
      <c r="U69" s="254"/>
      <c r="V69" s="320"/>
      <c r="W69" s="255">
        <f t="shared" si="2"/>
        <v>0</v>
      </c>
      <c r="X69" s="260">
        <f t="shared" si="3"/>
        <v>40.78</v>
      </c>
      <c r="Y69" s="254"/>
      <c r="Z69" s="254"/>
      <c r="AA69" s="256">
        <v>665.53</v>
      </c>
      <c r="AB69" s="254"/>
      <c r="AC69" s="260">
        <f t="shared" si="4"/>
        <v>665.53</v>
      </c>
      <c r="AD69" s="254">
        <f t="shared" si="5"/>
        <v>706.31</v>
      </c>
      <c r="AE69" s="254"/>
    </row>
    <row r="70" spans="1:31" ht="15" customHeight="1" x14ac:dyDescent="0.2">
      <c r="A70" s="265" t="s">
        <v>100</v>
      </c>
      <c r="B70" s="254"/>
      <c r="C70" s="254"/>
      <c r="D70" s="254"/>
      <c r="E70" s="254"/>
      <c r="F70" s="254"/>
      <c r="G70" s="255">
        <f t="shared" si="0"/>
        <v>0</v>
      </c>
      <c r="H70" s="254"/>
      <c r="I70" s="256">
        <v>367.8</v>
      </c>
      <c r="J70" s="256"/>
      <c r="K70" s="254"/>
      <c r="L70" s="254"/>
      <c r="M70" s="255">
        <f t="shared" si="1"/>
        <v>367.8</v>
      </c>
      <c r="N70" s="254"/>
      <c r="O70" s="317"/>
      <c r="P70" s="254"/>
      <c r="Q70" s="254"/>
      <c r="R70" s="254"/>
      <c r="S70" s="254"/>
      <c r="T70" s="254"/>
      <c r="U70" s="254"/>
      <c r="V70" s="320"/>
      <c r="W70" s="255">
        <f t="shared" si="2"/>
        <v>0</v>
      </c>
      <c r="X70" s="260">
        <f t="shared" si="3"/>
        <v>367.8</v>
      </c>
      <c r="Y70" s="254"/>
      <c r="Z70" s="254"/>
      <c r="AA70" s="256">
        <v>901.89</v>
      </c>
      <c r="AB70" s="254"/>
      <c r="AC70" s="260">
        <f t="shared" si="4"/>
        <v>901.89</v>
      </c>
      <c r="AD70" s="254">
        <f t="shared" si="5"/>
        <v>1269.69</v>
      </c>
      <c r="AE70" s="254"/>
    </row>
    <row r="71" spans="1:31" ht="15" customHeight="1" x14ac:dyDescent="0.2">
      <c r="A71" s="265" t="s">
        <v>101</v>
      </c>
      <c r="B71" s="254"/>
      <c r="C71" s="254"/>
      <c r="D71" s="254"/>
      <c r="E71" s="254"/>
      <c r="F71" s="254"/>
      <c r="G71" s="255">
        <f t="shared" ref="G71:G98" si="9">C71+D71+E71+F71</f>
        <v>0</v>
      </c>
      <c r="H71" s="254"/>
      <c r="I71" s="254"/>
      <c r="J71" s="254"/>
      <c r="K71" s="254"/>
      <c r="L71" s="254"/>
      <c r="M71" s="255">
        <f t="shared" ref="M71:M98" si="10">H71+I71+J71+K71+L71</f>
        <v>0</v>
      </c>
      <c r="N71" s="256">
        <v>188.48</v>
      </c>
      <c r="O71" s="317"/>
      <c r="P71" s="254"/>
      <c r="Q71" s="254"/>
      <c r="R71" s="254"/>
      <c r="S71" s="254"/>
      <c r="T71" s="254"/>
      <c r="U71" s="254"/>
      <c r="V71" s="320"/>
      <c r="W71" s="255">
        <f t="shared" ref="W71:W98" si="11">SUM(O71:V71)</f>
        <v>0</v>
      </c>
      <c r="X71" s="260">
        <f t="shared" ref="X71:X98" si="12">B71+G71+M71+N71+W71</f>
        <v>188.48</v>
      </c>
      <c r="Y71" s="254"/>
      <c r="Z71" s="254"/>
      <c r="AA71" s="256">
        <v>208.5</v>
      </c>
      <c r="AB71" s="254"/>
      <c r="AC71" s="260">
        <f t="shared" ref="AC71:AC97" si="13">Y71+Z71+AA71+AB71</f>
        <v>208.5</v>
      </c>
      <c r="AD71" s="254">
        <f t="shared" ref="AD71:AD98" si="14">X71+AC71</f>
        <v>396.98</v>
      </c>
      <c r="AE71" s="254"/>
    </row>
    <row r="72" spans="1:31" ht="15" customHeight="1" x14ac:dyDescent="0.2">
      <c r="A72" s="265" t="s">
        <v>102</v>
      </c>
      <c r="B72" s="254"/>
      <c r="C72" s="254"/>
      <c r="D72" s="254"/>
      <c r="E72" s="254"/>
      <c r="F72" s="254"/>
      <c r="G72" s="255">
        <f t="shared" si="9"/>
        <v>0</v>
      </c>
      <c r="H72" s="254"/>
      <c r="I72" s="254"/>
      <c r="J72" s="254"/>
      <c r="K72" s="254"/>
      <c r="L72" s="254"/>
      <c r="M72" s="255">
        <f t="shared" si="10"/>
        <v>0</v>
      </c>
      <c r="N72" s="254"/>
      <c r="O72" s="317"/>
      <c r="P72" s="254"/>
      <c r="Q72" s="254"/>
      <c r="R72" s="254"/>
      <c r="S72" s="254"/>
      <c r="T72" s="254"/>
      <c r="U72" s="254"/>
      <c r="V72" s="320"/>
      <c r="W72" s="255">
        <f t="shared" si="11"/>
        <v>0</v>
      </c>
      <c r="X72" s="260">
        <f t="shared" si="12"/>
        <v>0</v>
      </c>
      <c r="Y72" s="254"/>
      <c r="Z72" s="254"/>
      <c r="AA72" s="256">
        <v>369.84</v>
      </c>
      <c r="AB72" s="254"/>
      <c r="AC72" s="260">
        <f t="shared" si="13"/>
        <v>369.84</v>
      </c>
      <c r="AD72" s="254">
        <f t="shared" si="14"/>
        <v>369.84</v>
      </c>
      <c r="AE72" s="254"/>
    </row>
    <row r="73" spans="1:31" ht="15" customHeight="1" x14ac:dyDescent="0.2">
      <c r="A73" s="265" t="s">
        <v>321</v>
      </c>
      <c r="B73" s="254"/>
      <c r="C73" s="254"/>
      <c r="D73" s="254"/>
      <c r="E73" s="254"/>
      <c r="F73" s="254"/>
      <c r="G73" s="255">
        <f t="shared" si="9"/>
        <v>0</v>
      </c>
      <c r="H73" s="254"/>
      <c r="I73" s="254"/>
      <c r="J73" s="254"/>
      <c r="K73" s="254"/>
      <c r="L73" s="254"/>
      <c r="M73" s="255">
        <f t="shared" si="10"/>
        <v>0</v>
      </c>
      <c r="N73" s="254"/>
      <c r="O73" s="317"/>
      <c r="P73" s="254"/>
      <c r="Q73" s="254"/>
      <c r="R73" s="254"/>
      <c r="S73" s="254"/>
      <c r="T73" s="254"/>
      <c r="U73" s="254"/>
      <c r="V73" s="320"/>
      <c r="W73" s="255">
        <f t="shared" si="11"/>
        <v>0</v>
      </c>
      <c r="X73" s="260">
        <f t="shared" si="12"/>
        <v>0</v>
      </c>
      <c r="Y73" s="254"/>
      <c r="Z73" s="254"/>
      <c r="AA73" s="256">
        <v>280.5</v>
      </c>
      <c r="AB73" s="254"/>
      <c r="AC73" s="260">
        <f t="shared" si="13"/>
        <v>280.5</v>
      </c>
      <c r="AD73" s="254">
        <f t="shared" si="14"/>
        <v>280.5</v>
      </c>
      <c r="AE73" s="254"/>
    </row>
    <row r="74" spans="1:31" ht="15" customHeight="1" x14ac:dyDescent="0.2">
      <c r="A74" s="265" t="s">
        <v>258</v>
      </c>
      <c r="B74" s="254"/>
      <c r="C74" s="254"/>
      <c r="D74" s="254"/>
      <c r="E74" s="254"/>
      <c r="F74" s="254"/>
      <c r="G74" s="255">
        <f t="shared" si="9"/>
        <v>0</v>
      </c>
      <c r="H74" s="254"/>
      <c r="I74" s="254"/>
      <c r="J74" s="254"/>
      <c r="K74" s="254"/>
      <c r="L74" s="254"/>
      <c r="M74" s="255">
        <f t="shared" si="10"/>
        <v>0</v>
      </c>
      <c r="N74" s="254"/>
      <c r="O74" s="317"/>
      <c r="P74" s="254"/>
      <c r="Q74" s="254"/>
      <c r="R74" s="254"/>
      <c r="S74" s="254"/>
      <c r="T74" s="254"/>
      <c r="U74" s="254"/>
      <c r="V74" s="320"/>
      <c r="W74" s="255">
        <f t="shared" si="11"/>
        <v>0</v>
      </c>
      <c r="X74" s="260">
        <f t="shared" si="12"/>
        <v>0</v>
      </c>
      <c r="Y74" s="254"/>
      <c r="Z74" s="254"/>
      <c r="AA74" s="256">
        <v>60</v>
      </c>
      <c r="AB74" s="254"/>
      <c r="AC74" s="260">
        <f t="shared" si="13"/>
        <v>60</v>
      </c>
      <c r="AD74" s="254">
        <f t="shared" si="14"/>
        <v>60</v>
      </c>
      <c r="AE74" s="254"/>
    </row>
    <row r="75" spans="1:31" ht="15" customHeight="1" x14ac:dyDescent="0.2">
      <c r="A75" s="265" t="s">
        <v>103</v>
      </c>
      <c r="B75" s="257">
        <v>0</v>
      </c>
      <c r="C75" s="257">
        <v>0</v>
      </c>
      <c r="D75" s="257">
        <v>0</v>
      </c>
      <c r="E75" s="257">
        <v>0</v>
      </c>
      <c r="F75" s="257">
        <v>0</v>
      </c>
      <c r="G75" s="258">
        <f t="shared" si="9"/>
        <v>0</v>
      </c>
      <c r="H75" s="257">
        <v>0</v>
      </c>
      <c r="I75" s="257">
        <v>367.8</v>
      </c>
      <c r="J75" s="257">
        <v>0</v>
      </c>
      <c r="K75" s="257">
        <v>0</v>
      </c>
      <c r="L75" s="257">
        <v>0</v>
      </c>
      <c r="M75" s="258">
        <f t="shared" si="10"/>
        <v>367.8</v>
      </c>
      <c r="N75" s="257">
        <v>438.26</v>
      </c>
      <c r="O75" s="315">
        <v>0</v>
      </c>
      <c r="P75" s="257">
        <v>0</v>
      </c>
      <c r="Q75" s="257">
        <v>0</v>
      </c>
      <c r="R75" s="257">
        <v>0</v>
      </c>
      <c r="S75" s="257">
        <v>0</v>
      </c>
      <c r="T75" s="257">
        <v>0</v>
      </c>
      <c r="U75" s="257">
        <v>0</v>
      </c>
      <c r="V75" s="315">
        <v>0</v>
      </c>
      <c r="W75" s="258">
        <f t="shared" si="11"/>
        <v>0</v>
      </c>
      <c r="X75" s="261">
        <f t="shared" si="12"/>
        <v>806.06</v>
      </c>
      <c r="Y75" s="257">
        <v>0</v>
      </c>
      <c r="Z75" s="257">
        <v>0</v>
      </c>
      <c r="AA75" s="257">
        <v>3622.38</v>
      </c>
      <c r="AB75" s="257">
        <v>0</v>
      </c>
      <c r="AC75" s="261">
        <f t="shared" si="13"/>
        <v>3622.38</v>
      </c>
      <c r="AD75" s="257">
        <f t="shared" si="14"/>
        <v>4428.4400000000005</v>
      </c>
      <c r="AE75" s="257"/>
    </row>
    <row r="76" spans="1:31" ht="15" customHeight="1" x14ac:dyDescent="0.2">
      <c r="A76" s="265" t="s">
        <v>104</v>
      </c>
      <c r="B76" s="254"/>
      <c r="C76" s="254"/>
      <c r="D76" s="254"/>
      <c r="E76" s="254"/>
      <c r="F76" s="254"/>
      <c r="G76" s="255">
        <f t="shared" si="9"/>
        <v>0</v>
      </c>
      <c r="H76" s="254"/>
      <c r="I76" s="254"/>
      <c r="J76" s="254"/>
      <c r="K76" s="254"/>
      <c r="L76" s="254"/>
      <c r="M76" s="255">
        <f t="shared" si="10"/>
        <v>0</v>
      </c>
      <c r="N76" s="254"/>
      <c r="O76" s="317"/>
      <c r="P76" s="254"/>
      <c r="Q76" s="254"/>
      <c r="R76" s="254"/>
      <c r="S76" s="254"/>
      <c r="T76" s="254"/>
      <c r="U76" s="254"/>
      <c r="V76" s="320"/>
      <c r="W76" s="255">
        <f t="shared" si="11"/>
        <v>0</v>
      </c>
      <c r="X76" s="260">
        <f t="shared" si="12"/>
        <v>0</v>
      </c>
      <c r="Y76" s="254"/>
      <c r="Z76" s="254"/>
      <c r="AA76" s="254"/>
      <c r="AB76" s="254"/>
      <c r="AC76" s="260">
        <f t="shared" si="13"/>
        <v>0</v>
      </c>
      <c r="AD76" s="254">
        <f t="shared" si="14"/>
        <v>0</v>
      </c>
      <c r="AE76" s="254"/>
    </row>
    <row r="77" spans="1:31" ht="15" customHeight="1" x14ac:dyDescent="0.2">
      <c r="A77" s="265" t="s">
        <v>105</v>
      </c>
      <c r="B77" s="254"/>
      <c r="C77" s="254"/>
      <c r="D77" s="254"/>
      <c r="E77" s="254"/>
      <c r="F77" s="254"/>
      <c r="G77" s="255">
        <f t="shared" si="9"/>
        <v>0</v>
      </c>
      <c r="H77" s="254"/>
      <c r="I77" s="254"/>
      <c r="J77" s="254"/>
      <c r="K77" s="254"/>
      <c r="L77" s="254"/>
      <c r="M77" s="255">
        <f t="shared" si="10"/>
        <v>0</v>
      </c>
      <c r="N77" s="254"/>
      <c r="O77" s="317"/>
      <c r="P77" s="256">
        <v>83.13</v>
      </c>
      <c r="Q77" s="254"/>
      <c r="R77" s="254"/>
      <c r="S77" s="254"/>
      <c r="T77" s="254"/>
      <c r="U77" s="256">
        <v>14.15</v>
      </c>
      <c r="V77" s="321">
        <v>323.64999999999998</v>
      </c>
      <c r="W77" s="255">
        <f t="shared" si="11"/>
        <v>420.92999999999995</v>
      </c>
      <c r="X77" s="260">
        <f t="shared" si="12"/>
        <v>420.92999999999995</v>
      </c>
      <c r="Y77" s="254"/>
      <c r="Z77" s="254"/>
      <c r="AA77" s="254"/>
      <c r="AB77" s="254"/>
      <c r="AC77" s="260">
        <f t="shared" si="13"/>
        <v>0</v>
      </c>
      <c r="AD77" s="254">
        <f t="shared" si="14"/>
        <v>420.92999999999995</v>
      </c>
      <c r="AE77" s="254"/>
    </row>
    <row r="78" spans="1:31" ht="24.75" customHeight="1" x14ac:dyDescent="0.2">
      <c r="A78" s="265" t="s">
        <v>472</v>
      </c>
      <c r="B78" s="254"/>
      <c r="C78" s="254"/>
      <c r="D78" s="254"/>
      <c r="E78" s="254"/>
      <c r="F78" s="254"/>
      <c r="G78" s="255">
        <f t="shared" si="9"/>
        <v>0</v>
      </c>
      <c r="H78" s="254"/>
      <c r="I78" s="254"/>
      <c r="J78" s="254"/>
      <c r="K78" s="254"/>
      <c r="L78" s="254"/>
      <c r="M78" s="255">
        <f t="shared" si="10"/>
        <v>0</v>
      </c>
      <c r="N78" s="254"/>
      <c r="O78" s="318">
        <v>185</v>
      </c>
      <c r="P78" s="254"/>
      <c r="Q78" s="254"/>
      <c r="R78" s="256">
        <v>900</v>
      </c>
      <c r="S78" s="254"/>
      <c r="T78" s="254"/>
      <c r="U78" s="256">
        <v>500</v>
      </c>
      <c r="V78" s="320"/>
      <c r="W78" s="255">
        <f t="shared" si="11"/>
        <v>1585</v>
      </c>
      <c r="X78" s="260">
        <f t="shared" si="12"/>
        <v>1585</v>
      </c>
      <c r="Y78" s="254"/>
      <c r="Z78" s="254"/>
      <c r="AA78" s="254">
        <v>200</v>
      </c>
      <c r="AB78" s="254"/>
      <c r="AC78" s="260">
        <f t="shared" si="13"/>
        <v>200</v>
      </c>
      <c r="AD78" s="254">
        <f t="shared" si="14"/>
        <v>1785</v>
      </c>
      <c r="AE78" s="254"/>
    </row>
    <row r="79" spans="1:31" ht="15" customHeight="1" x14ac:dyDescent="0.2">
      <c r="A79" s="265" t="s">
        <v>106</v>
      </c>
      <c r="B79" s="254"/>
      <c r="C79" s="254"/>
      <c r="D79" s="254"/>
      <c r="E79" s="256">
        <v>39.340000000000003</v>
      </c>
      <c r="F79" s="254"/>
      <c r="G79" s="255">
        <f t="shared" si="9"/>
        <v>39.340000000000003</v>
      </c>
      <c r="H79" s="254"/>
      <c r="I79" s="254"/>
      <c r="J79" s="254"/>
      <c r="K79" s="254"/>
      <c r="L79" s="254"/>
      <c r="M79" s="255">
        <f t="shared" si="10"/>
        <v>0</v>
      </c>
      <c r="N79" s="254"/>
      <c r="O79" s="317"/>
      <c r="P79" s="254"/>
      <c r="Q79" s="254"/>
      <c r="R79" s="254"/>
      <c r="S79" s="254"/>
      <c r="T79" s="254"/>
      <c r="U79" s="254"/>
      <c r="V79" s="321">
        <v>527.36</v>
      </c>
      <c r="W79" s="255">
        <f t="shared" si="11"/>
        <v>527.36</v>
      </c>
      <c r="X79" s="260">
        <f t="shared" si="12"/>
        <v>566.70000000000005</v>
      </c>
      <c r="Y79" s="254"/>
      <c r="Z79" s="254"/>
      <c r="AA79" s="254"/>
      <c r="AB79" s="254"/>
      <c r="AC79" s="260">
        <f t="shared" si="13"/>
        <v>0</v>
      </c>
      <c r="AD79" s="254">
        <f t="shared" si="14"/>
        <v>566.70000000000005</v>
      </c>
      <c r="AE79" s="254"/>
    </row>
    <row r="80" spans="1:31" ht="15" customHeight="1" x14ac:dyDescent="0.2">
      <c r="A80" s="265" t="s">
        <v>434</v>
      </c>
      <c r="B80" s="254"/>
      <c r="C80" s="254"/>
      <c r="D80" s="254"/>
      <c r="E80" s="254"/>
      <c r="F80" s="254"/>
      <c r="G80" s="255">
        <f t="shared" si="9"/>
        <v>0</v>
      </c>
      <c r="H80" s="254"/>
      <c r="I80" s="254"/>
      <c r="J80" s="254">
        <v>0</v>
      </c>
      <c r="K80" s="256">
        <v>160.31</v>
      </c>
      <c r="L80" s="254"/>
      <c r="M80" s="255">
        <f t="shared" si="10"/>
        <v>160.31</v>
      </c>
      <c r="N80" s="254"/>
      <c r="O80" s="317"/>
      <c r="P80" s="254"/>
      <c r="Q80" s="254"/>
      <c r="R80" s="254"/>
      <c r="S80" s="254"/>
      <c r="T80" s="254"/>
      <c r="U80" s="254"/>
      <c r="V80" s="320"/>
      <c r="W80" s="255">
        <f t="shared" si="11"/>
        <v>0</v>
      </c>
      <c r="X80" s="260">
        <f t="shared" si="12"/>
        <v>160.31</v>
      </c>
      <c r="Y80" s="254"/>
      <c r="Z80" s="254"/>
      <c r="AA80" s="254"/>
      <c r="AB80" s="254"/>
      <c r="AC80" s="260">
        <f t="shared" si="13"/>
        <v>0</v>
      </c>
      <c r="AD80" s="254">
        <f t="shared" si="14"/>
        <v>160.31</v>
      </c>
      <c r="AE80" s="254"/>
    </row>
    <row r="81" spans="1:31" ht="15" customHeight="1" x14ac:dyDescent="0.2">
      <c r="A81" s="265" t="s">
        <v>107</v>
      </c>
      <c r="B81" s="257">
        <v>0</v>
      </c>
      <c r="C81" s="257">
        <v>0</v>
      </c>
      <c r="D81" s="257">
        <v>0</v>
      </c>
      <c r="E81" s="257">
        <v>39.340000000000003</v>
      </c>
      <c r="F81" s="257">
        <v>0</v>
      </c>
      <c r="G81" s="258">
        <f t="shared" si="9"/>
        <v>39.340000000000003</v>
      </c>
      <c r="H81" s="257">
        <v>0</v>
      </c>
      <c r="I81" s="257">
        <v>0</v>
      </c>
      <c r="J81" s="257">
        <v>0</v>
      </c>
      <c r="K81" s="257">
        <v>160.31</v>
      </c>
      <c r="L81" s="257">
        <v>0</v>
      </c>
      <c r="M81" s="258">
        <f t="shared" si="10"/>
        <v>160.31</v>
      </c>
      <c r="N81" s="257">
        <v>0</v>
      </c>
      <c r="O81" s="315">
        <f>SUM(O76:O80)</f>
        <v>185</v>
      </c>
      <c r="P81" s="315">
        <f t="shared" ref="P81:V81" si="15">SUM(P76:P80)</f>
        <v>83.13</v>
      </c>
      <c r="Q81" s="315">
        <f t="shared" si="15"/>
        <v>0</v>
      </c>
      <c r="R81" s="315">
        <f t="shared" si="15"/>
        <v>900</v>
      </c>
      <c r="S81" s="315">
        <f t="shared" si="15"/>
        <v>0</v>
      </c>
      <c r="T81" s="315">
        <f t="shared" si="15"/>
        <v>0</v>
      </c>
      <c r="U81" s="315">
        <f t="shared" si="15"/>
        <v>514.15</v>
      </c>
      <c r="V81" s="315">
        <f t="shared" si="15"/>
        <v>851.01</v>
      </c>
      <c r="W81" s="258">
        <f t="shared" si="11"/>
        <v>2533.29</v>
      </c>
      <c r="X81" s="261">
        <f t="shared" si="12"/>
        <v>2732.94</v>
      </c>
      <c r="Y81" s="257">
        <v>0</v>
      </c>
      <c r="Z81" s="257">
        <v>0</v>
      </c>
      <c r="AA81" s="257">
        <v>200</v>
      </c>
      <c r="AB81" s="257">
        <v>0</v>
      </c>
      <c r="AC81" s="261">
        <f t="shared" si="13"/>
        <v>200</v>
      </c>
      <c r="AD81" s="257">
        <f t="shared" si="14"/>
        <v>2932.94</v>
      </c>
      <c r="AE81" s="257"/>
    </row>
    <row r="82" spans="1:31" ht="15" customHeight="1" x14ac:dyDescent="0.2">
      <c r="A82" s="265" t="s">
        <v>473</v>
      </c>
      <c r="B82" s="254"/>
      <c r="C82" s="256">
        <v>26.66</v>
      </c>
      <c r="D82" s="254"/>
      <c r="E82" s="254"/>
      <c r="F82" s="254"/>
      <c r="G82" s="255">
        <f t="shared" si="9"/>
        <v>26.66</v>
      </c>
      <c r="H82" s="254"/>
      <c r="I82" s="254"/>
      <c r="J82" s="254"/>
      <c r="K82" s="254"/>
      <c r="L82" s="254"/>
      <c r="M82" s="255">
        <f t="shared" si="10"/>
        <v>0</v>
      </c>
      <c r="N82" s="254"/>
      <c r="O82" s="317"/>
      <c r="P82" s="256">
        <v>23.15</v>
      </c>
      <c r="Q82" s="254"/>
      <c r="R82" s="254"/>
      <c r="S82" s="254"/>
      <c r="T82" s="254"/>
      <c r="U82" s="254"/>
      <c r="V82" s="320"/>
      <c r="W82" s="255">
        <f t="shared" si="11"/>
        <v>23.15</v>
      </c>
      <c r="X82" s="260">
        <f t="shared" si="12"/>
        <v>49.81</v>
      </c>
      <c r="Y82" s="254"/>
      <c r="Z82" s="254"/>
      <c r="AA82" s="254"/>
      <c r="AB82" s="254"/>
      <c r="AC82" s="260">
        <f t="shared" si="13"/>
        <v>0</v>
      </c>
      <c r="AD82" s="254">
        <f t="shared" si="14"/>
        <v>49.81</v>
      </c>
      <c r="AE82" s="254"/>
    </row>
    <row r="83" spans="1:31" ht="15" customHeight="1" x14ac:dyDescent="0.2">
      <c r="A83" s="265" t="s">
        <v>429</v>
      </c>
      <c r="B83" s="254"/>
      <c r="C83" s="254"/>
      <c r="D83" s="254"/>
      <c r="E83" s="256">
        <v>20.76</v>
      </c>
      <c r="F83" s="256">
        <v>68.150000000000006</v>
      </c>
      <c r="G83" s="255">
        <f t="shared" si="9"/>
        <v>88.910000000000011</v>
      </c>
      <c r="H83" s="254"/>
      <c r="I83" s="254"/>
      <c r="J83" s="254">
        <v>310.91000000000003</v>
      </c>
      <c r="K83" s="254"/>
      <c r="L83" s="254"/>
      <c r="M83" s="255">
        <f t="shared" si="10"/>
        <v>310.91000000000003</v>
      </c>
      <c r="N83" s="254"/>
      <c r="O83" s="317"/>
      <c r="P83" s="256">
        <v>30</v>
      </c>
      <c r="Q83" s="254"/>
      <c r="R83" s="254"/>
      <c r="S83" s="254"/>
      <c r="T83" s="254"/>
      <c r="U83" s="254"/>
      <c r="V83" s="320"/>
      <c r="W83" s="255">
        <f t="shared" si="11"/>
        <v>30</v>
      </c>
      <c r="X83" s="260">
        <f t="shared" si="12"/>
        <v>429.82000000000005</v>
      </c>
      <c r="Y83" s="254"/>
      <c r="Z83" s="254"/>
      <c r="AA83" s="254"/>
      <c r="AB83" s="254"/>
      <c r="AC83" s="260">
        <f t="shared" si="13"/>
        <v>0</v>
      </c>
      <c r="AD83" s="254">
        <f>X83+AC83</f>
        <v>429.82000000000005</v>
      </c>
      <c r="AE83" s="254"/>
    </row>
    <row r="84" spans="1:31" ht="15" customHeight="1" x14ac:dyDescent="0.2">
      <c r="A84" s="265" t="s">
        <v>474</v>
      </c>
      <c r="B84" s="254"/>
      <c r="C84" s="254"/>
      <c r="D84" s="256">
        <v>920</v>
      </c>
      <c r="E84" s="256">
        <f>67.75+181.76</f>
        <v>249.51</v>
      </c>
      <c r="F84" s="256">
        <v>223.26</v>
      </c>
      <c r="G84" s="255">
        <f t="shared" si="9"/>
        <v>1392.77</v>
      </c>
      <c r="H84" s="254"/>
      <c r="I84" s="254"/>
      <c r="J84" s="254"/>
      <c r="K84" s="254"/>
      <c r="L84" s="254"/>
      <c r="M84" s="255">
        <f t="shared" si="10"/>
        <v>0</v>
      </c>
      <c r="N84" s="254"/>
      <c r="O84" s="317"/>
      <c r="P84" s="254"/>
      <c r="Q84" s="254"/>
      <c r="R84" s="254"/>
      <c r="S84" s="254"/>
      <c r="T84" s="254"/>
      <c r="U84" s="254"/>
      <c r="V84" s="320"/>
      <c r="W84" s="255">
        <f t="shared" si="11"/>
        <v>0</v>
      </c>
      <c r="X84" s="260">
        <f t="shared" si="12"/>
        <v>1392.77</v>
      </c>
      <c r="Y84" s="254"/>
      <c r="Z84" s="254"/>
      <c r="AA84" s="254"/>
      <c r="AB84" s="254"/>
      <c r="AC84" s="260">
        <f t="shared" si="13"/>
        <v>0</v>
      </c>
      <c r="AD84" s="254">
        <f t="shared" si="14"/>
        <v>1392.77</v>
      </c>
      <c r="AE84" s="254"/>
    </row>
    <row r="85" spans="1:31" ht="15" customHeight="1" x14ac:dyDescent="0.2">
      <c r="A85" s="265" t="s">
        <v>475</v>
      </c>
      <c r="B85" s="257">
        <v>0</v>
      </c>
      <c r="C85" s="257">
        <v>26.66</v>
      </c>
      <c r="D85" s="257">
        <v>920</v>
      </c>
      <c r="E85" s="257">
        <f>E83+E84+E82</f>
        <v>270.27</v>
      </c>
      <c r="F85" s="257">
        <f>F83+F84+F82</f>
        <v>291.40999999999997</v>
      </c>
      <c r="G85" s="258">
        <f t="shared" si="9"/>
        <v>1508.3399999999997</v>
      </c>
      <c r="H85" s="257">
        <v>0</v>
      </c>
      <c r="I85" s="257">
        <v>0</v>
      </c>
      <c r="J85" s="257">
        <v>310.91000000000003</v>
      </c>
      <c r="K85" s="257">
        <v>0</v>
      </c>
      <c r="L85" s="257">
        <v>0</v>
      </c>
      <c r="M85" s="258">
        <f t="shared" si="10"/>
        <v>310.91000000000003</v>
      </c>
      <c r="N85" s="257">
        <v>0</v>
      </c>
      <c r="O85" s="315">
        <v>0</v>
      </c>
      <c r="P85" s="257">
        <v>53.15</v>
      </c>
      <c r="Q85" s="257">
        <v>0</v>
      </c>
      <c r="R85" s="257">
        <v>0</v>
      </c>
      <c r="S85" s="257">
        <v>0</v>
      </c>
      <c r="T85" s="257">
        <v>0</v>
      </c>
      <c r="U85" s="257">
        <v>0</v>
      </c>
      <c r="V85" s="315">
        <v>0</v>
      </c>
      <c r="W85" s="258">
        <f t="shared" si="11"/>
        <v>53.15</v>
      </c>
      <c r="X85" s="261">
        <f t="shared" si="12"/>
        <v>1872.3999999999999</v>
      </c>
      <c r="Y85" s="257">
        <v>0</v>
      </c>
      <c r="Z85" s="257">
        <v>0</v>
      </c>
      <c r="AA85" s="257">
        <v>0</v>
      </c>
      <c r="AB85" s="257">
        <v>0</v>
      </c>
      <c r="AC85" s="261">
        <f t="shared" si="13"/>
        <v>0</v>
      </c>
      <c r="AD85" s="257">
        <f t="shared" si="14"/>
        <v>1872.3999999999999</v>
      </c>
      <c r="AE85" s="257"/>
    </row>
    <row r="86" spans="1:31" ht="15" customHeight="1" x14ac:dyDescent="0.2">
      <c r="A86" s="265" t="s">
        <v>108</v>
      </c>
      <c r="B86" s="254"/>
      <c r="C86" s="254"/>
      <c r="D86" s="254"/>
      <c r="E86" s="254"/>
      <c r="F86" s="254"/>
      <c r="G86" s="255">
        <f t="shared" si="9"/>
        <v>0</v>
      </c>
      <c r="H86" s="254"/>
      <c r="I86" s="254"/>
      <c r="J86" s="254"/>
      <c r="K86" s="254"/>
      <c r="L86" s="254"/>
      <c r="M86" s="255">
        <f t="shared" si="10"/>
        <v>0</v>
      </c>
      <c r="N86" s="254"/>
      <c r="O86" s="317"/>
      <c r="P86" s="254"/>
      <c r="Q86" s="254"/>
      <c r="R86" s="254"/>
      <c r="S86" s="254"/>
      <c r="T86" s="254"/>
      <c r="U86" s="254"/>
      <c r="V86" s="320"/>
      <c r="W86" s="255">
        <f t="shared" si="11"/>
        <v>0</v>
      </c>
      <c r="X86" s="260">
        <f t="shared" si="12"/>
        <v>0</v>
      </c>
      <c r="Y86" s="254"/>
      <c r="Z86" s="254"/>
      <c r="AA86" s="254"/>
      <c r="AB86" s="254"/>
      <c r="AC86" s="260">
        <f t="shared" si="13"/>
        <v>0</v>
      </c>
      <c r="AD86" s="254">
        <f t="shared" si="14"/>
        <v>0</v>
      </c>
      <c r="AE86" s="254"/>
    </row>
    <row r="87" spans="1:31" ht="15" customHeight="1" x14ac:dyDescent="0.2">
      <c r="A87" s="265" t="s">
        <v>249</v>
      </c>
      <c r="B87" s="254"/>
      <c r="C87" s="254"/>
      <c r="D87" s="254"/>
      <c r="E87" s="254"/>
      <c r="F87" s="254"/>
      <c r="G87" s="255">
        <f t="shared" si="9"/>
        <v>0</v>
      </c>
      <c r="H87" s="254"/>
      <c r="I87" s="254"/>
      <c r="J87" s="254"/>
      <c r="K87" s="254"/>
      <c r="L87" s="254"/>
      <c r="M87" s="255">
        <f t="shared" si="10"/>
        <v>0</v>
      </c>
      <c r="N87" s="254"/>
      <c r="O87" s="317"/>
      <c r="P87" s="254"/>
      <c r="Q87" s="254"/>
      <c r="R87" s="254"/>
      <c r="S87" s="254"/>
      <c r="T87" s="254"/>
      <c r="U87" s="254"/>
      <c r="V87" s="320"/>
      <c r="W87" s="255">
        <f t="shared" si="11"/>
        <v>0</v>
      </c>
      <c r="X87" s="260">
        <f t="shared" si="12"/>
        <v>0</v>
      </c>
      <c r="Y87" s="254"/>
      <c r="Z87" s="254"/>
      <c r="AA87" s="256">
        <v>-750</v>
      </c>
      <c r="AB87" s="254"/>
      <c r="AC87" s="260">
        <f t="shared" si="13"/>
        <v>-750</v>
      </c>
      <c r="AD87" s="254">
        <f t="shared" si="14"/>
        <v>-750</v>
      </c>
      <c r="AE87" s="254"/>
    </row>
    <row r="88" spans="1:31" ht="15" customHeight="1" x14ac:dyDescent="0.2">
      <c r="A88" s="265" t="s">
        <v>183</v>
      </c>
      <c r="B88" s="257">
        <v>0</v>
      </c>
      <c r="C88" s="257">
        <v>0</v>
      </c>
      <c r="D88" s="257">
        <v>0</v>
      </c>
      <c r="E88" s="257">
        <v>0</v>
      </c>
      <c r="F88" s="257">
        <v>0</v>
      </c>
      <c r="G88" s="258">
        <f t="shared" si="9"/>
        <v>0</v>
      </c>
      <c r="H88" s="257">
        <v>0</v>
      </c>
      <c r="I88" s="257">
        <v>0</v>
      </c>
      <c r="J88" s="257">
        <v>0</v>
      </c>
      <c r="K88" s="257">
        <v>0</v>
      </c>
      <c r="L88" s="257">
        <v>0</v>
      </c>
      <c r="M88" s="258">
        <f t="shared" si="10"/>
        <v>0</v>
      </c>
      <c r="N88" s="257">
        <v>0</v>
      </c>
      <c r="O88" s="315">
        <v>0</v>
      </c>
      <c r="P88" s="257">
        <v>0</v>
      </c>
      <c r="Q88" s="257">
        <v>0</v>
      </c>
      <c r="R88" s="257">
        <v>0</v>
      </c>
      <c r="S88" s="257">
        <v>0</v>
      </c>
      <c r="T88" s="257">
        <v>0</v>
      </c>
      <c r="U88" s="257">
        <v>0</v>
      </c>
      <c r="V88" s="315">
        <v>0</v>
      </c>
      <c r="W88" s="258">
        <f t="shared" si="11"/>
        <v>0</v>
      </c>
      <c r="X88" s="261">
        <f t="shared" si="12"/>
        <v>0</v>
      </c>
      <c r="Y88" s="257">
        <v>0</v>
      </c>
      <c r="Z88" s="257">
        <v>0</v>
      </c>
      <c r="AA88" s="257">
        <v>-750</v>
      </c>
      <c r="AB88" s="257">
        <v>0</v>
      </c>
      <c r="AC88" s="261">
        <f t="shared" si="13"/>
        <v>-750</v>
      </c>
      <c r="AD88" s="257">
        <f t="shared" si="14"/>
        <v>-750</v>
      </c>
      <c r="AE88" s="257"/>
    </row>
    <row r="89" spans="1:31" ht="15" customHeight="1" x14ac:dyDescent="0.2">
      <c r="A89" s="265" t="s">
        <v>109</v>
      </c>
      <c r="B89" s="257">
        <v>0</v>
      </c>
      <c r="C89" s="257">
        <v>219.57999999999998</v>
      </c>
      <c r="D89" s="257">
        <v>920</v>
      </c>
      <c r="E89" s="257">
        <f>E88+E85+E81+E75+E64+E60+E58+E51+E43+E40</f>
        <v>1200</v>
      </c>
      <c r="F89" s="257">
        <v>291.40999999999997</v>
      </c>
      <c r="G89" s="258">
        <f t="shared" si="9"/>
        <v>2630.99</v>
      </c>
      <c r="H89" s="257">
        <v>0</v>
      </c>
      <c r="I89" s="257">
        <v>367.8</v>
      </c>
      <c r="J89" s="257">
        <v>675.53</v>
      </c>
      <c r="K89" s="257">
        <v>628.82999999999993</v>
      </c>
      <c r="L89" s="257">
        <v>0</v>
      </c>
      <c r="M89" s="258">
        <f t="shared" si="10"/>
        <v>1672.1599999999999</v>
      </c>
      <c r="N89" s="257">
        <v>1997.79</v>
      </c>
      <c r="O89" s="315">
        <f>O81+O75+O64+O60+O51+O43+O40+O37</f>
        <v>10259.74</v>
      </c>
      <c r="P89" s="315">
        <f t="shared" ref="P89:V89" si="16">P81+P75+P64+P60+P51+P43+P40+P37</f>
        <v>138.80000000000001</v>
      </c>
      <c r="Q89" s="315">
        <f t="shared" si="16"/>
        <v>0</v>
      </c>
      <c r="R89" s="315">
        <f t="shared" si="16"/>
        <v>900</v>
      </c>
      <c r="S89" s="315">
        <f t="shared" si="16"/>
        <v>0</v>
      </c>
      <c r="T89" s="315">
        <f t="shared" si="16"/>
        <v>-278</v>
      </c>
      <c r="U89" s="315">
        <f t="shared" si="16"/>
        <v>601.16</v>
      </c>
      <c r="V89" s="315">
        <f t="shared" si="16"/>
        <v>851.01</v>
      </c>
      <c r="W89" s="258">
        <f t="shared" si="11"/>
        <v>12472.71</v>
      </c>
      <c r="X89" s="261">
        <f t="shared" si="12"/>
        <v>18773.649999999998</v>
      </c>
      <c r="Y89" s="257">
        <v>0</v>
      </c>
      <c r="Z89" s="257">
        <v>0</v>
      </c>
      <c r="AA89" s="257">
        <v>45525.850000000006</v>
      </c>
      <c r="AB89" s="257">
        <v>0</v>
      </c>
      <c r="AC89" s="261">
        <f t="shared" si="13"/>
        <v>45525.850000000006</v>
      </c>
      <c r="AD89" s="257">
        <f t="shared" si="14"/>
        <v>64299.5</v>
      </c>
      <c r="AE89" s="257"/>
    </row>
    <row r="90" spans="1:31" ht="15" customHeight="1" x14ac:dyDescent="0.2">
      <c r="A90" s="265" t="s">
        <v>110</v>
      </c>
      <c r="B90" s="257">
        <v>0</v>
      </c>
      <c r="C90" s="257">
        <v>-210.23999999999998</v>
      </c>
      <c r="D90" s="257">
        <v>581.46</v>
      </c>
      <c r="E90" s="257">
        <v>40.120000000000118</v>
      </c>
      <c r="F90" s="257">
        <f>F27-F89</f>
        <v>-204.65999999999997</v>
      </c>
      <c r="G90" s="258">
        <f t="shared" si="9"/>
        <v>206.68000000000018</v>
      </c>
      <c r="H90" s="257">
        <v>0</v>
      </c>
      <c r="I90" s="257">
        <v>-321.8</v>
      </c>
      <c r="J90" s="257">
        <v>-675.53</v>
      </c>
      <c r="K90" s="257">
        <v>794.77</v>
      </c>
      <c r="L90" s="257">
        <v>0</v>
      </c>
      <c r="M90" s="258">
        <f t="shared" si="10"/>
        <v>-202.55999999999995</v>
      </c>
      <c r="N90" s="257">
        <v>2651.9000000000005</v>
      </c>
      <c r="O90" s="315">
        <f>O28-O89</f>
        <v>-9761.89</v>
      </c>
      <c r="P90" s="315">
        <f>P28-P89</f>
        <v>207.95</v>
      </c>
      <c r="Q90" s="315">
        <f>Q28-Q89</f>
        <v>0</v>
      </c>
      <c r="R90" s="315">
        <f>R28-R89</f>
        <v>-121</v>
      </c>
      <c r="S90" s="315">
        <f>S28-S89</f>
        <v>500</v>
      </c>
      <c r="T90" s="315">
        <f>T28-T89</f>
        <v>278</v>
      </c>
      <c r="U90" s="315">
        <f>U28-U89</f>
        <v>-448.15999999999997</v>
      </c>
      <c r="V90" s="315">
        <f>V28-V89</f>
        <v>-326.70000000000005</v>
      </c>
      <c r="W90" s="258">
        <f>SUM(O90:V90)</f>
        <v>-9671.7999999999993</v>
      </c>
      <c r="X90" s="261">
        <f t="shared" si="12"/>
        <v>-7015.7799999999988</v>
      </c>
      <c r="Y90" s="257">
        <v>0</v>
      </c>
      <c r="Z90" s="257">
        <v>176.15</v>
      </c>
      <c r="AA90" s="257">
        <v>-7431.2899999999936</v>
      </c>
      <c r="AB90" s="257">
        <v>0</v>
      </c>
      <c r="AC90" s="261">
        <f t="shared" si="13"/>
        <v>-7255.139999999994</v>
      </c>
      <c r="AD90" s="257">
        <f t="shared" si="14"/>
        <v>-14270.919999999993</v>
      </c>
      <c r="AE90" s="257"/>
    </row>
    <row r="91" spans="1:31" ht="15" customHeight="1" x14ac:dyDescent="0.2">
      <c r="A91" s="265" t="s">
        <v>312</v>
      </c>
      <c r="B91" s="254"/>
      <c r="C91" s="254"/>
      <c r="D91" s="254"/>
      <c r="E91" s="254"/>
      <c r="F91" s="254"/>
      <c r="G91" s="255">
        <f t="shared" si="9"/>
        <v>0</v>
      </c>
      <c r="H91" s="254"/>
      <c r="I91" s="254"/>
      <c r="J91" s="254"/>
      <c r="K91" s="254"/>
      <c r="L91" s="254"/>
      <c r="M91" s="255">
        <f t="shared" si="10"/>
        <v>0</v>
      </c>
      <c r="N91" s="254"/>
      <c r="O91" s="317"/>
      <c r="P91" s="254"/>
      <c r="Q91" s="254"/>
      <c r="R91" s="254"/>
      <c r="S91" s="254"/>
      <c r="T91" s="254"/>
      <c r="U91" s="254"/>
      <c r="V91" s="320"/>
      <c r="W91" s="255">
        <f>SUM(O91:V91)</f>
        <v>0</v>
      </c>
      <c r="X91" s="260">
        <f t="shared" si="12"/>
        <v>0</v>
      </c>
      <c r="Y91" s="254"/>
      <c r="Z91" s="254"/>
      <c r="AA91" s="254"/>
      <c r="AB91" s="254"/>
      <c r="AC91" s="260">
        <f t="shared" si="13"/>
        <v>0</v>
      </c>
      <c r="AD91" s="254">
        <f t="shared" si="14"/>
        <v>0</v>
      </c>
      <c r="AE91" s="254"/>
    </row>
    <row r="92" spans="1:31" ht="15" customHeight="1" x14ac:dyDescent="0.2">
      <c r="A92" s="265" t="s">
        <v>313</v>
      </c>
      <c r="B92" s="254"/>
      <c r="C92" s="254"/>
      <c r="D92" s="254"/>
      <c r="E92" s="254"/>
      <c r="F92" s="254"/>
      <c r="G92" s="255">
        <f t="shared" si="9"/>
        <v>0</v>
      </c>
      <c r="H92" s="254"/>
      <c r="I92" s="254"/>
      <c r="J92" s="254"/>
      <c r="K92" s="254"/>
      <c r="L92" s="254"/>
      <c r="M92" s="255">
        <f t="shared" si="10"/>
        <v>0</v>
      </c>
      <c r="N92" s="254"/>
      <c r="O92" s="317"/>
      <c r="P92" s="254"/>
      <c r="Q92" s="254"/>
      <c r="R92" s="254"/>
      <c r="S92" s="254"/>
      <c r="T92" s="254"/>
      <c r="U92" s="254"/>
      <c r="V92" s="320"/>
      <c r="W92" s="255">
        <f t="shared" si="11"/>
        <v>0</v>
      </c>
      <c r="X92" s="260">
        <f t="shared" si="12"/>
        <v>0</v>
      </c>
      <c r="Y92" s="254"/>
      <c r="Z92" s="254"/>
      <c r="AA92" s="256">
        <v>198.25</v>
      </c>
      <c r="AB92" s="254"/>
      <c r="AC92" s="260">
        <f t="shared" si="13"/>
        <v>198.25</v>
      </c>
      <c r="AD92" s="254">
        <f t="shared" si="14"/>
        <v>198.25</v>
      </c>
      <c r="AE92" s="254"/>
    </row>
    <row r="93" spans="1:31" ht="15" customHeight="1" x14ac:dyDescent="0.2">
      <c r="A93" s="265" t="s">
        <v>314</v>
      </c>
      <c r="B93" s="257">
        <v>0</v>
      </c>
      <c r="C93" s="257">
        <v>0</v>
      </c>
      <c r="D93" s="257">
        <v>0</v>
      </c>
      <c r="E93" s="257">
        <v>0</v>
      </c>
      <c r="F93" s="257">
        <v>0</v>
      </c>
      <c r="G93" s="258">
        <f t="shared" si="9"/>
        <v>0</v>
      </c>
      <c r="H93" s="257">
        <v>0</v>
      </c>
      <c r="I93" s="257">
        <v>0</v>
      </c>
      <c r="J93" s="257">
        <v>0</v>
      </c>
      <c r="K93" s="257">
        <v>0</v>
      </c>
      <c r="L93" s="257">
        <v>0</v>
      </c>
      <c r="M93" s="258">
        <f t="shared" si="10"/>
        <v>0</v>
      </c>
      <c r="N93" s="257">
        <v>0</v>
      </c>
      <c r="O93" s="315">
        <v>0</v>
      </c>
      <c r="P93" s="257">
        <v>0</v>
      </c>
      <c r="Q93" s="257">
        <v>0</v>
      </c>
      <c r="R93" s="257">
        <v>0</v>
      </c>
      <c r="S93" s="257">
        <v>0</v>
      </c>
      <c r="T93" s="257">
        <v>0</v>
      </c>
      <c r="U93" s="257">
        <v>0</v>
      </c>
      <c r="V93" s="315">
        <v>0</v>
      </c>
      <c r="W93" s="258">
        <f t="shared" si="11"/>
        <v>0</v>
      </c>
      <c r="X93" s="261">
        <f t="shared" si="12"/>
        <v>0</v>
      </c>
      <c r="Y93" s="257">
        <v>0</v>
      </c>
      <c r="Z93" s="257">
        <v>0</v>
      </c>
      <c r="AA93" s="257">
        <v>198.25</v>
      </c>
      <c r="AB93" s="257">
        <v>0</v>
      </c>
      <c r="AC93" s="261">
        <f t="shared" si="13"/>
        <v>198.25</v>
      </c>
      <c r="AD93" s="257">
        <f t="shared" si="14"/>
        <v>198.25</v>
      </c>
      <c r="AE93" s="257"/>
    </row>
    <row r="94" spans="1:31" ht="15" customHeight="1" x14ac:dyDescent="0.2">
      <c r="A94" s="265" t="s">
        <v>437</v>
      </c>
      <c r="B94" s="254"/>
      <c r="C94" s="254"/>
      <c r="D94" s="254"/>
      <c r="E94" s="254"/>
      <c r="F94" s="254"/>
      <c r="G94" s="255">
        <f t="shared" si="9"/>
        <v>0</v>
      </c>
      <c r="H94" s="254"/>
      <c r="I94" s="254"/>
      <c r="J94" s="254"/>
      <c r="K94" s="254"/>
      <c r="L94" s="254"/>
      <c r="M94" s="255">
        <f t="shared" si="10"/>
        <v>0</v>
      </c>
      <c r="N94" s="254"/>
      <c r="O94" s="317"/>
      <c r="P94" s="254"/>
      <c r="Q94" s="254"/>
      <c r="R94" s="254"/>
      <c r="S94" s="254"/>
      <c r="T94" s="254"/>
      <c r="U94" s="254"/>
      <c r="V94" s="320"/>
      <c r="W94" s="255">
        <f t="shared" si="11"/>
        <v>0</v>
      </c>
      <c r="X94" s="260">
        <f t="shared" si="12"/>
        <v>0</v>
      </c>
      <c r="Y94" s="254"/>
      <c r="Z94" s="254"/>
      <c r="AA94" s="254"/>
      <c r="AB94" s="254"/>
      <c r="AC94" s="260">
        <f t="shared" si="13"/>
        <v>0</v>
      </c>
      <c r="AD94" s="254">
        <f t="shared" si="14"/>
        <v>0</v>
      </c>
      <c r="AE94" s="254"/>
    </row>
    <row r="95" spans="1:31" ht="15" customHeight="1" x14ac:dyDescent="0.2">
      <c r="A95" s="265" t="s">
        <v>476</v>
      </c>
      <c r="B95" s="254"/>
      <c r="C95" s="254"/>
      <c r="D95" s="254"/>
      <c r="E95" s="254"/>
      <c r="F95" s="254"/>
      <c r="G95" s="255">
        <f t="shared" si="9"/>
        <v>0</v>
      </c>
      <c r="H95" s="254"/>
      <c r="I95" s="254"/>
      <c r="J95" s="254"/>
      <c r="K95" s="254"/>
      <c r="L95" s="256">
        <v>-184.5</v>
      </c>
      <c r="M95" s="255">
        <f t="shared" si="10"/>
        <v>-184.5</v>
      </c>
      <c r="N95" s="256">
        <v>300</v>
      </c>
      <c r="O95" s="318">
        <v>-261.33</v>
      </c>
      <c r="P95" s="254"/>
      <c r="Q95" s="256">
        <v>-1642.48</v>
      </c>
      <c r="R95" s="254"/>
      <c r="S95" s="254"/>
      <c r="T95" s="256">
        <v>261.33</v>
      </c>
      <c r="U95" s="254"/>
      <c r="V95" s="320"/>
      <c r="W95" s="255">
        <f t="shared" si="11"/>
        <v>-1642.48</v>
      </c>
      <c r="X95" s="260">
        <f t="shared" si="12"/>
        <v>-1526.98</v>
      </c>
      <c r="Y95" s="254"/>
      <c r="Z95" s="254"/>
      <c r="AA95" s="256">
        <v>1526.98</v>
      </c>
      <c r="AB95" s="254"/>
      <c r="AC95" s="260">
        <f t="shared" si="13"/>
        <v>1526.98</v>
      </c>
      <c r="AD95" s="254">
        <f t="shared" si="14"/>
        <v>0</v>
      </c>
      <c r="AE95" s="254"/>
    </row>
    <row r="96" spans="1:31" ht="15" customHeight="1" x14ac:dyDescent="0.2">
      <c r="A96" s="265" t="s">
        <v>438</v>
      </c>
      <c r="B96" s="257">
        <v>0</v>
      </c>
      <c r="C96" s="257">
        <v>0</v>
      </c>
      <c r="D96" s="257">
        <v>0</v>
      </c>
      <c r="E96" s="257">
        <v>0</v>
      </c>
      <c r="F96" s="257">
        <v>0</v>
      </c>
      <c r="G96" s="258">
        <f t="shared" si="9"/>
        <v>0</v>
      </c>
      <c r="H96" s="257">
        <v>0</v>
      </c>
      <c r="I96" s="257">
        <v>0</v>
      </c>
      <c r="J96" s="257">
        <v>0</v>
      </c>
      <c r="K96" s="257">
        <v>0</v>
      </c>
      <c r="L96" s="257">
        <v>-184.5</v>
      </c>
      <c r="M96" s="258">
        <f t="shared" si="10"/>
        <v>-184.5</v>
      </c>
      <c r="N96" s="257">
        <v>300</v>
      </c>
      <c r="O96" s="315">
        <v>-261.33</v>
      </c>
      <c r="P96" s="257">
        <v>0</v>
      </c>
      <c r="Q96" s="257">
        <v>-1642.48</v>
      </c>
      <c r="R96" s="257">
        <v>0</v>
      </c>
      <c r="S96" s="257">
        <v>0</v>
      </c>
      <c r="T96" s="257">
        <v>261.33</v>
      </c>
      <c r="U96" s="257">
        <v>0</v>
      </c>
      <c r="V96" s="315">
        <v>0</v>
      </c>
      <c r="W96" s="258">
        <f t="shared" si="11"/>
        <v>-1642.48</v>
      </c>
      <c r="X96" s="261">
        <f t="shared" si="12"/>
        <v>-1526.98</v>
      </c>
      <c r="Y96" s="257">
        <v>0</v>
      </c>
      <c r="Z96" s="257">
        <v>0</v>
      </c>
      <c r="AA96" s="257">
        <v>1526.98</v>
      </c>
      <c r="AB96" s="257">
        <v>0</v>
      </c>
      <c r="AC96" s="261">
        <f t="shared" si="13"/>
        <v>1526.98</v>
      </c>
      <c r="AD96" s="257">
        <f t="shared" si="14"/>
        <v>0</v>
      </c>
      <c r="AE96" s="257"/>
    </row>
    <row r="97" spans="1:31" ht="15" customHeight="1" x14ac:dyDescent="0.2">
      <c r="A97" s="265" t="s">
        <v>315</v>
      </c>
      <c r="B97" s="257">
        <v>0</v>
      </c>
      <c r="C97" s="257">
        <v>0</v>
      </c>
      <c r="D97" s="257">
        <v>0</v>
      </c>
      <c r="E97" s="257">
        <v>0</v>
      </c>
      <c r="F97" s="257">
        <v>0</v>
      </c>
      <c r="G97" s="258">
        <f t="shared" si="9"/>
        <v>0</v>
      </c>
      <c r="H97" s="257">
        <v>0</v>
      </c>
      <c r="I97" s="257">
        <v>0</v>
      </c>
      <c r="J97" s="257">
        <v>0</v>
      </c>
      <c r="K97" s="257">
        <v>0</v>
      </c>
      <c r="L97" s="257">
        <v>184.5</v>
      </c>
      <c r="M97" s="258">
        <f t="shared" si="10"/>
        <v>184.5</v>
      </c>
      <c r="N97" s="257">
        <v>-300</v>
      </c>
      <c r="O97" s="315">
        <v>-261.33</v>
      </c>
      <c r="P97" s="257">
        <v>0</v>
      </c>
      <c r="Q97" s="257">
        <v>1642.48</v>
      </c>
      <c r="R97" s="257">
        <v>0</v>
      </c>
      <c r="S97" s="257">
        <v>0</v>
      </c>
      <c r="T97" s="257">
        <v>-261.33</v>
      </c>
      <c r="U97" s="257">
        <v>0</v>
      </c>
      <c r="V97" s="315">
        <v>0</v>
      </c>
      <c r="W97" s="258">
        <f t="shared" si="11"/>
        <v>1119.8200000000002</v>
      </c>
      <c r="X97" s="261">
        <f t="shared" si="12"/>
        <v>1004.3200000000002</v>
      </c>
      <c r="Y97" s="257">
        <v>0</v>
      </c>
      <c r="Z97" s="257">
        <v>0</v>
      </c>
      <c r="AA97" s="257">
        <v>-1328.73</v>
      </c>
      <c r="AB97" s="257">
        <v>0</v>
      </c>
      <c r="AC97" s="261">
        <f t="shared" si="13"/>
        <v>-1328.73</v>
      </c>
      <c r="AD97" s="257">
        <f t="shared" si="14"/>
        <v>-324.40999999999985</v>
      </c>
      <c r="AE97" s="257"/>
    </row>
    <row r="98" spans="1:31" ht="15" customHeight="1" x14ac:dyDescent="0.2">
      <c r="A98" s="265" t="s">
        <v>111</v>
      </c>
      <c r="B98" s="257">
        <f t="shared" ref="B98:F98" si="17">B28-B89-B96</f>
        <v>0</v>
      </c>
      <c r="C98" s="257">
        <f t="shared" si="17"/>
        <v>-210.23999999999998</v>
      </c>
      <c r="D98" s="257">
        <f t="shared" si="17"/>
        <v>581.46</v>
      </c>
      <c r="E98" s="257">
        <f>E28-E89-E96</f>
        <v>40.119999999999891</v>
      </c>
      <c r="F98" s="257">
        <f t="shared" si="17"/>
        <v>-204.65999999999997</v>
      </c>
      <c r="G98" s="258">
        <f t="shared" si="9"/>
        <v>206.67999999999995</v>
      </c>
      <c r="H98" s="257">
        <f t="shared" ref="H98:K98" si="18">H28-H89-H96</f>
        <v>0</v>
      </c>
      <c r="I98" s="257">
        <f t="shared" si="18"/>
        <v>-321.8</v>
      </c>
      <c r="J98" s="257">
        <f t="shared" si="18"/>
        <v>-675.53</v>
      </c>
      <c r="K98" s="257">
        <f t="shared" si="18"/>
        <v>-205.2299999999999</v>
      </c>
      <c r="L98" s="257">
        <f>L28-L89-L96</f>
        <v>184.5</v>
      </c>
      <c r="M98" s="258">
        <f t="shared" si="10"/>
        <v>-1018.06</v>
      </c>
      <c r="N98" s="257">
        <f t="shared" ref="N98:V98" si="19">N28-N89-N96</f>
        <v>2351.9000000000005</v>
      </c>
      <c r="O98" s="315">
        <f>O28-O89-O96</f>
        <v>-9500.56</v>
      </c>
      <c r="P98" s="257">
        <f t="shared" si="19"/>
        <v>207.95</v>
      </c>
      <c r="Q98" s="257">
        <f t="shared" si="19"/>
        <v>1642.48</v>
      </c>
      <c r="R98" s="257">
        <f t="shared" si="19"/>
        <v>-121</v>
      </c>
      <c r="S98" s="257">
        <f t="shared" si="19"/>
        <v>500</v>
      </c>
      <c r="T98" s="257">
        <f t="shared" si="19"/>
        <v>16.670000000000016</v>
      </c>
      <c r="U98" s="257">
        <f t="shared" si="19"/>
        <v>-448.15999999999997</v>
      </c>
      <c r="V98" s="315">
        <f t="shared" si="19"/>
        <v>-326.70000000000005</v>
      </c>
      <c r="W98" s="258">
        <f t="shared" si="11"/>
        <v>-8029.3199999999988</v>
      </c>
      <c r="X98" s="261">
        <f t="shared" si="12"/>
        <v>-6488.7999999999984</v>
      </c>
      <c r="Y98" s="257">
        <f t="shared" ref="Y98:AC98" si="20">Y28-Y89-Y96</f>
        <v>0</v>
      </c>
      <c r="Z98" s="257">
        <f t="shared" si="20"/>
        <v>176.15</v>
      </c>
      <c r="AA98" s="257">
        <f t="shared" si="20"/>
        <v>-8958.2699999999932</v>
      </c>
      <c r="AB98" s="257">
        <f t="shared" si="20"/>
        <v>0</v>
      </c>
      <c r="AC98" s="261">
        <f t="shared" si="20"/>
        <v>-8782.1199999999917</v>
      </c>
      <c r="AD98" s="257">
        <f t="shared" si="14"/>
        <v>-15270.919999999991</v>
      </c>
      <c r="AE98" s="257"/>
    </row>
    <row r="99" spans="1:31" ht="15" customHeight="1" x14ac:dyDescent="0.2">
      <c r="A99" s="265"/>
      <c r="B99" s="254"/>
      <c r="C99" s="254"/>
      <c r="D99" s="254"/>
      <c r="E99" s="254"/>
      <c r="F99" s="254"/>
      <c r="G99" s="255"/>
      <c r="H99" s="254"/>
      <c r="I99" s="254"/>
      <c r="J99" s="254"/>
      <c r="K99" s="254"/>
      <c r="L99" s="254"/>
      <c r="M99" s="255"/>
      <c r="N99" s="254"/>
      <c r="O99" s="317"/>
      <c r="P99" s="254"/>
      <c r="Q99" s="254"/>
      <c r="R99" s="254"/>
      <c r="S99" s="254"/>
      <c r="T99" s="254"/>
      <c r="U99" s="254"/>
      <c r="V99" s="320"/>
      <c r="W99" s="255"/>
      <c r="X99" s="254"/>
      <c r="Y99" s="254"/>
      <c r="Z99" s="254"/>
      <c r="AA99" s="254"/>
      <c r="AB99" s="254"/>
      <c r="AC99" s="254"/>
      <c r="AD99" s="254"/>
    </row>
    <row r="102" spans="1:31" ht="15" customHeight="1" x14ac:dyDescent="0.25">
      <c r="A102" s="296" t="s">
        <v>478</v>
      </c>
      <c r="B102" s="293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</row>
  </sheetData>
  <sheetProtection selectLockedCells="1" selectUnlockedCells="1"/>
  <mergeCells count="4">
    <mergeCell ref="A102:AD102"/>
    <mergeCell ref="A1:AD1"/>
    <mergeCell ref="A2:AD2"/>
    <mergeCell ref="A3:AD3"/>
  </mergeCells>
  <phoneticPr fontId="7" type="noConversion"/>
  <pageMargins left="0.2361111111111111" right="0.2361111111111111" top="0.74791666666666667" bottom="0.74791666666666667" header="0.51180555555555551" footer="0.51180555555555551"/>
  <pageSetup scale="37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H16" sqref="H16"/>
    </sheetView>
  </sheetViews>
  <sheetFormatPr defaultRowHeight="12.75" x14ac:dyDescent="0.2"/>
  <cols>
    <col min="3" max="3" width="32.7109375" bestFit="1" customWidth="1"/>
  </cols>
  <sheetData>
    <row r="1" spans="1:10" x14ac:dyDescent="0.2">
      <c r="A1" s="4" t="s">
        <v>161</v>
      </c>
    </row>
    <row r="2" spans="1:10" x14ac:dyDescent="0.2">
      <c r="A2" s="4" t="s">
        <v>308</v>
      </c>
    </row>
    <row r="3" spans="1:10" x14ac:dyDescent="0.2">
      <c r="B3" s="43"/>
      <c r="C3" s="43"/>
      <c r="D3" s="115" t="s">
        <v>54</v>
      </c>
      <c r="E3" s="113"/>
      <c r="F3" s="114" t="s">
        <v>304</v>
      </c>
      <c r="G3" s="114"/>
      <c r="H3" s="114" t="s">
        <v>305</v>
      </c>
      <c r="J3" s="114" t="s">
        <v>306</v>
      </c>
    </row>
    <row r="4" spans="1:10" x14ac:dyDescent="0.2">
      <c r="A4" s="48"/>
      <c r="B4" s="48"/>
      <c r="C4" s="48"/>
      <c r="D4" s="102" t="s">
        <v>191</v>
      </c>
      <c r="E4" s="55"/>
      <c r="F4" s="102" t="s">
        <v>191</v>
      </c>
      <c r="G4" s="112"/>
      <c r="H4" s="102" t="s">
        <v>191</v>
      </c>
      <c r="J4" s="102" t="s">
        <v>191</v>
      </c>
    </row>
    <row r="5" spans="1:10" x14ac:dyDescent="0.2">
      <c r="A5" s="55" t="s">
        <v>193</v>
      </c>
      <c r="B5" s="55"/>
      <c r="C5" s="55"/>
      <c r="D5" s="59"/>
      <c r="E5" s="57"/>
      <c r="F5" s="108"/>
      <c r="G5" s="60"/>
      <c r="H5" s="108"/>
      <c r="J5" s="108"/>
    </row>
    <row r="6" spans="1:10" x14ac:dyDescent="0.2">
      <c r="A6" s="43"/>
      <c r="B6" s="43" t="s">
        <v>194</v>
      </c>
      <c r="C6" s="43"/>
      <c r="D6" s="67"/>
      <c r="E6" s="64"/>
      <c r="F6" s="109"/>
      <c r="G6" s="68"/>
      <c r="H6" s="109"/>
      <c r="J6" s="109"/>
    </row>
    <row r="7" spans="1:10" x14ac:dyDescent="0.2">
      <c r="A7" s="43"/>
      <c r="B7" s="43"/>
      <c r="C7" s="43" t="s">
        <v>195</v>
      </c>
      <c r="D7" s="67">
        <v>50000</v>
      </c>
      <c r="E7" s="64"/>
      <c r="F7" s="109">
        <v>50000</v>
      </c>
      <c r="G7" s="68"/>
      <c r="H7" s="109"/>
      <c r="J7" s="109"/>
    </row>
    <row r="8" spans="1:10" x14ac:dyDescent="0.2">
      <c r="A8" s="43"/>
      <c r="B8" s="43"/>
      <c r="C8" s="43" t="s">
        <v>196</v>
      </c>
      <c r="D8" s="67">
        <v>12000</v>
      </c>
      <c r="E8" s="64"/>
      <c r="F8" s="109">
        <v>12000</v>
      </c>
      <c r="G8" s="68"/>
      <c r="H8" s="109"/>
      <c r="J8" s="109"/>
    </row>
    <row r="9" spans="1:10" x14ac:dyDescent="0.2">
      <c r="A9" s="43"/>
      <c r="B9" s="43" t="s">
        <v>197</v>
      </c>
      <c r="C9" s="43"/>
      <c r="D9" s="67"/>
      <c r="E9" s="64"/>
      <c r="F9" s="109"/>
      <c r="G9" s="68"/>
      <c r="H9" s="109"/>
      <c r="J9" s="109"/>
    </row>
    <row r="10" spans="1:10" x14ac:dyDescent="0.2">
      <c r="A10" s="43"/>
      <c r="B10" s="43"/>
      <c r="C10" s="43" t="s">
        <v>198</v>
      </c>
      <c r="D10" s="67"/>
      <c r="E10" s="64"/>
      <c r="F10" s="109"/>
      <c r="G10" s="68"/>
      <c r="H10" s="109"/>
      <c r="J10" s="109"/>
    </row>
    <row r="11" spans="1:10" x14ac:dyDescent="0.2">
      <c r="A11" s="43"/>
      <c r="B11" s="43"/>
      <c r="C11" s="43" t="s">
        <v>199</v>
      </c>
      <c r="D11" s="67">
        <v>2500</v>
      </c>
      <c r="E11" s="64"/>
      <c r="F11" s="109"/>
      <c r="G11" s="68"/>
      <c r="H11" s="109">
        <v>2500</v>
      </c>
      <c r="J11" s="109"/>
    </row>
    <row r="12" spans="1:10" x14ac:dyDescent="0.2">
      <c r="A12" s="43"/>
      <c r="B12" s="43"/>
      <c r="C12" s="43" t="s">
        <v>200</v>
      </c>
      <c r="D12" s="67">
        <v>12000</v>
      </c>
      <c r="E12" s="64"/>
      <c r="F12" s="109"/>
      <c r="G12" s="68"/>
      <c r="H12" s="109">
        <v>12000</v>
      </c>
      <c r="J12" s="109"/>
    </row>
    <row r="13" spans="1:10" x14ac:dyDescent="0.2">
      <c r="A13" s="43"/>
      <c r="B13" s="43"/>
      <c r="C13" s="43" t="s">
        <v>201</v>
      </c>
      <c r="D13" s="67">
        <v>7000</v>
      </c>
      <c r="E13" s="64"/>
      <c r="F13" s="109">
        <v>1000</v>
      </c>
      <c r="G13" s="68"/>
      <c r="H13" s="109">
        <v>3000</v>
      </c>
      <c r="J13" s="109">
        <v>3000</v>
      </c>
    </row>
    <row r="14" spans="1:10" x14ac:dyDescent="0.2">
      <c r="A14" s="43"/>
      <c r="B14" s="43" t="s">
        <v>166</v>
      </c>
      <c r="C14" s="43"/>
      <c r="D14" s="67">
        <v>500</v>
      </c>
      <c r="E14" s="64"/>
      <c r="F14" s="109">
        <v>500</v>
      </c>
      <c r="G14" s="68"/>
      <c r="H14" s="109"/>
      <c r="J14" s="109"/>
    </row>
    <row r="15" spans="1:10" x14ac:dyDescent="0.2">
      <c r="A15" s="43"/>
      <c r="B15" s="43" t="s">
        <v>26</v>
      </c>
      <c r="C15" s="43"/>
      <c r="D15" s="67">
        <v>3150</v>
      </c>
      <c r="E15" s="64"/>
      <c r="F15" s="109"/>
      <c r="G15" s="68"/>
      <c r="H15" s="109">
        <v>3150</v>
      </c>
      <c r="J15" s="109"/>
    </row>
    <row r="16" spans="1:10" x14ac:dyDescent="0.2">
      <c r="A16" s="43"/>
      <c r="B16" s="43" t="s">
        <v>162</v>
      </c>
      <c r="C16" s="43"/>
      <c r="D16" s="67">
        <v>3940</v>
      </c>
      <c r="E16" s="64"/>
      <c r="F16" s="109">
        <v>680</v>
      </c>
      <c r="G16" s="68"/>
      <c r="H16" s="109">
        <v>3260</v>
      </c>
      <c r="J16" s="109"/>
    </row>
    <row r="17" spans="1:10" x14ac:dyDescent="0.2">
      <c r="A17" s="43"/>
      <c r="B17" s="43" t="s">
        <v>202</v>
      </c>
      <c r="C17" s="43"/>
      <c r="D17" s="67">
        <v>60</v>
      </c>
      <c r="E17" s="64"/>
      <c r="F17" s="109">
        <v>60</v>
      </c>
      <c r="G17" s="68"/>
      <c r="H17" s="109"/>
      <c r="J17" s="109"/>
    </row>
    <row r="18" spans="1:10" ht="13.5" thickBot="1" x14ac:dyDescent="0.25">
      <c r="A18" s="43"/>
      <c r="B18" s="43"/>
      <c r="C18" s="43"/>
      <c r="D18" s="106">
        <v>91150</v>
      </c>
      <c r="E18" s="64"/>
      <c r="F18" s="110">
        <v>64240</v>
      </c>
      <c r="G18" s="68"/>
      <c r="H18" s="110">
        <v>23910</v>
      </c>
      <c r="J18" s="110">
        <v>3000</v>
      </c>
    </row>
    <row r="19" spans="1:10" ht="13.5" thickTop="1" x14ac:dyDescent="0.2">
      <c r="A19" s="43"/>
      <c r="B19" s="43"/>
      <c r="C19" s="43"/>
      <c r="D19" s="67"/>
      <c r="E19" s="64"/>
      <c r="F19" s="109"/>
      <c r="G19" s="68"/>
      <c r="H19" s="109"/>
      <c r="J19" s="109"/>
    </row>
    <row r="20" spans="1:10" x14ac:dyDescent="0.2">
      <c r="A20" s="55" t="s">
        <v>203</v>
      </c>
      <c r="B20" s="43"/>
      <c r="C20" s="43"/>
      <c r="D20" s="67"/>
      <c r="E20" s="64"/>
      <c r="F20" s="109"/>
      <c r="G20" s="68"/>
      <c r="H20" s="109"/>
      <c r="J20" s="109"/>
    </row>
    <row r="21" spans="1:10" x14ac:dyDescent="0.2">
      <c r="A21" s="55"/>
      <c r="B21" s="43" t="s">
        <v>204</v>
      </c>
      <c r="C21" s="43"/>
      <c r="D21" s="67">
        <v>49500</v>
      </c>
      <c r="E21" s="64"/>
      <c r="F21" s="109">
        <v>35000</v>
      </c>
      <c r="G21" s="68"/>
      <c r="H21" s="109">
        <v>14500</v>
      </c>
      <c r="J21" s="109"/>
    </row>
    <row r="22" spans="1:10" x14ac:dyDescent="0.2">
      <c r="A22" s="55"/>
      <c r="B22" s="43" t="s">
        <v>205</v>
      </c>
      <c r="C22" s="43"/>
      <c r="D22" s="67">
        <v>14500</v>
      </c>
      <c r="E22" s="64"/>
      <c r="F22" s="109">
        <v>14500</v>
      </c>
      <c r="G22" s="68"/>
      <c r="H22" s="109"/>
      <c r="J22" s="109"/>
    </row>
    <row r="23" spans="1:10" x14ac:dyDescent="0.2">
      <c r="A23" s="55"/>
      <c r="B23" s="43" t="s">
        <v>206</v>
      </c>
      <c r="C23" s="43"/>
      <c r="D23" s="67">
        <v>11000</v>
      </c>
      <c r="E23" s="64"/>
      <c r="F23" s="109">
        <v>11000</v>
      </c>
      <c r="G23" s="68"/>
      <c r="H23" s="109"/>
      <c r="J23" s="109"/>
    </row>
    <row r="24" spans="1:10" x14ac:dyDescent="0.2">
      <c r="A24" s="55"/>
      <c r="B24" s="43" t="s">
        <v>207</v>
      </c>
      <c r="C24" s="43"/>
      <c r="D24" s="67">
        <v>7700</v>
      </c>
      <c r="E24" s="64"/>
      <c r="F24" s="109">
        <v>4920</v>
      </c>
      <c r="G24" s="68"/>
      <c r="H24" s="109">
        <v>80</v>
      </c>
      <c r="J24" s="109">
        <v>2700</v>
      </c>
    </row>
    <row r="25" spans="1:10" x14ac:dyDescent="0.2">
      <c r="A25" s="55"/>
      <c r="B25" s="43" t="s">
        <v>208</v>
      </c>
      <c r="C25" s="43"/>
      <c r="D25" s="67">
        <v>4000</v>
      </c>
      <c r="E25" s="64"/>
      <c r="F25" s="109">
        <v>3880</v>
      </c>
      <c r="G25" s="68"/>
      <c r="H25" s="109">
        <v>120</v>
      </c>
      <c r="J25" s="109"/>
    </row>
    <row r="26" spans="1:10" x14ac:dyDescent="0.2">
      <c r="A26" s="55"/>
      <c r="B26" s="43" t="s">
        <v>209</v>
      </c>
      <c r="C26" s="43"/>
      <c r="D26" s="67">
        <v>1500</v>
      </c>
      <c r="E26" s="64"/>
      <c r="F26" s="109">
        <v>1200</v>
      </c>
      <c r="G26" s="68"/>
      <c r="H26" s="109"/>
      <c r="J26" s="109">
        <v>300</v>
      </c>
    </row>
    <row r="27" spans="1:10" x14ac:dyDescent="0.2">
      <c r="A27" s="55"/>
      <c r="B27" s="43" t="s">
        <v>210</v>
      </c>
      <c r="C27" s="43"/>
      <c r="D27" s="67">
        <v>1700</v>
      </c>
      <c r="E27" s="64"/>
      <c r="F27" s="109"/>
      <c r="G27" s="68"/>
      <c r="H27" s="109">
        <v>1700</v>
      </c>
      <c r="J27" s="109"/>
    </row>
    <row r="28" spans="1:10" x14ac:dyDescent="0.2">
      <c r="A28" s="55"/>
      <c r="B28" s="43" t="s">
        <v>211</v>
      </c>
      <c r="C28" s="43"/>
      <c r="D28" s="67">
        <v>3000</v>
      </c>
      <c r="E28" s="64"/>
      <c r="F28" s="109"/>
      <c r="G28" s="68"/>
      <c r="H28" s="109">
        <v>3000</v>
      </c>
      <c r="J28" s="109"/>
    </row>
    <row r="29" spans="1:10" x14ac:dyDescent="0.2">
      <c r="A29" s="55"/>
      <c r="B29" s="43" t="s">
        <v>6</v>
      </c>
      <c r="C29" s="43"/>
      <c r="D29" s="67">
        <v>700</v>
      </c>
      <c r="E29" s="64"/>
      <c r="F29" s="109">
        <v>500</v>
      </c>
      <c r="G29" s="68"/>
      <c r="H29" s="109">
        <v>200</v>
      </c>
      <c r="J29" s="109"/>
    </row>
    <row r="30" spans="1:10" x14ac:dyDescent="0.2">
      <c r="A30" s="55"/>
      <c r="B30" s="43" t="s">
        <v>212</v>
      </c>
      <c r="C30" s="43"/>
      <c r="D30" s="67"/>
      <c r="E30" s="64"/>
      <c r="F30" s="109">
        <v>-1500</v>
      </c>
      <c r="G30" s="68"/>
      <c r="H30" s="109">
        <v>1500</v>
      </c>
      <c r="J30" s="109"/>
    </row>
    <row r="31" spans="1:10" x14ac:dyDescent="0.2">
      <c r="A31" s="55"/>
      <c r="B31" s="43" t="s">
        <v>213</v>
      </c>
      <c r="C31" s="43"/>
      <c r="D31" s="67"/>
      <c r="E31" s="64"/>
      <c r="F31" s="109"/>
      <c r="G31" s="68"/>
      <c r="H31" s="109"/>
      <c r="J31" s="109"/>
    </row>
    <row r="32" spans="1:10" x14ac:dyDescent="0.2">
      <c r="A32" s="55"/>
      <c r="B32" s="43"/>
      <c r="C32" s="105"/>
      <c r="D32" s="107">
        <v>93600</v>
      </c>
      <c r="E32" s="64"/>
      <c r="F32" s="111">
        <v>69500</v>
      </c>
      <c r="G32" s="68"/>
      <c r="H32" s="111">
        <v>21100</v>
      </c>
      <c r="J32" s="111">
        <v>3000</v>
      </c>
    </row>
    <row r="33" spans="1:10" x14ac:dyDescent="0.2">
      <c r="A33" s="55"/>
      <c r="B33" s="43"/>
      <c r="C33" s="43"/>
      <c r="D33" s="67"/>
      <c r="E33" s="64"/>
      <c r="F33" s="109"/>
      <c r="G33" s="68"/>
      <c r="H33" s="109"/>
      <c r="J33" s="109"/>
    </row>
    <row r="34" spans="1:10" x14ac:dyDescent="0.2">
      <c r="A34" s="55"/>
      <c r="B34" s="43"/>
      <c r="C34" s="89" t="s">
        <v>215</v>
      </c>
      <c r="D34" s="103">
        <v>-2450</v>
      </c>
      <c r="E34" s="64"/>
      <c r="F34" s="103">
        <v>-5260</v>
      </c>
      <c r="G34" s="68"/>
      <c r="H34" s="103">
        <v>2810</v>
      </c>
      <c r="J34" s="103">
        <v>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workbookViewId="0">
      <selection activeCell="B18" sqref="B18"/>
    </sheetView>
  </sheetViews>
  <sheetFormatPr defaultColWidth="9.140625" defaultRowHeight="15" x14ac:dyDescent="0.25"/>
  <cols>
    <col min="1" max="1" width="48.140625" style="101" customWidth="1"/>
    <col min="2" max="4" width="22.28515625" style="101" customWidth="1"/>
    <col min="5" max="16384" width="9.140625" style="101"/>
  </cols>
  <sheetData>
    <row r="1" spans="1:4" ht="18" x14ac:dyDescent="0.25">
      <c r="A1" s="294" t="s">
        <v>0</v>
      </c>
      <c r="B1" s="293"/>
      <c r="C1" s="293"/>
      <c r="D1" s="293"/>
    </row>
    <row r="2" spans="1:4" ht="18" x14ac:dyDescent="0.25">
      <c r="A2" s="294" t="s">
        <v>220</v>
      </c>
      <c r="B2" s="293"/>
      <c r="C2" s="293"/>
      <c r="D2" s="293"/>
    </row>
    <row r="3" spans="1:4" x14ac:dyDescent="0.25">
      <c r="A3" s="295" t="s">
        <v>316</v>
      </c>
      <c r="B3" s="293"/>
      <c r="C3" s="293"/>
      <c r="D3" s="293"/>
    </row>
    <row r="5" spans="1:4" x14ac:dyDescent="0.25">
      <c r="A5" s="126"/>
      <c r="B5" s="125" t="s">
        <v>55</v>
      </c>
      <c r="C5" s="125" t="s">
        <v>72</v>
      </c>
      <c r="D5" s="125" t="s">
        <v>111</v>
      </c>
    </row>
    <row r="6" spans="1:4" x14ac:dyDescent="0.25">
      <c r="A6" s="120" t="s">
        <v>2</v>
      </c>
      <c r="B6" s="119"/>
      <c r="C6" s="119"/>
      <c r="D6" s="123">
        <f t="shared" ref="D6:D22" si="0">(B6)+(C6)</f>
        <v>0</v>
      </c>
    </row>
    <row r="7" spans="1:4" x14ac:dyDescent="0.25">
      <c r="A7" s="120" t="s">
        <v>221</v>
      </c>
      <c r="B7" s="119"/>
      <c r="C7" s="119"/>
      <c r="D7" s="123">
        <f t="shared" si="0"/>
        <v>0</v>
      </c>
    </row>
    <row r="8" spans="1:4" x14ac:dyDescent="0.25">
      <c r="A8" s="120" t="s">
        <v>222</v>
      </c>
      <c r="B8" s="119"/>
      <c r="C8" s="123">
        <f>0</f>
        <v>0</v>
      </c>
      <c r="D8" s="123">
        <f t="shared" si="0"/>
        <v>0</v>
      </c>
    </row>
    <row r="9" spans="1:4" x14ac:dyDescent="0.25">
      <c r="A9" s="120" t="s">
        <v>223</v>
      </c>
      <c r="B9" s="121">
        <f>(B7)+(B8)</f>
        <v>0</v>
      </c>
      <c r="C9" s="121">
        <f>(C7)+(C8)</f>
        <v>0</v>
      </c>
      <c r="D9" s="121">
        <f t="shared" si="0"/>
        <v>0</v>
      </c>
    </row>
    <row r="10" spans="1:4" x14ac:dyDescent="0.25">
      <c r="A10" s="120" t="s">
        <v>224</v>
      </c>
      <c r="B10" s="119"/>
      <c r="C10" s="124">
        <v>0</v>
      </c>
      <c r="D10" s="124">
        <f t="shared" si="0"/>
        <v>0</v>
      </c>
    </row>
    <row r="11" spans="1:4" x14ac:dyDescent="0.25">
      <c r="A11" s="120" t="s">
        <v>225</v>
      </c>
      <c r="B11" s="119"/>
      <c r="C11" s="119"/>
      <c r="D11" s="123">
        <f t="shared" si="0"/>
        <v>0</v>
      </c>
    </row>
    <row r="12" spans="1:4" x14ac:dyDescent="0.25">
      <c r="A12" s="120" t="s">
        <v>252</v>
      </c>
      <c r="B12" s="119"/>
      <c r="C12" s="124">
        <v>-180</v>
      </c>
      <c r="D12" s="124">
        <f t="shared" si="0"/>
        <v>-180</v>
      </c>
    </row>
    <row r="13" spans="1:4" x14ac:dyDescent="0.25">
      <c r="A13" s="120" t="s">
        <v>253</v>
      </c>
      <c r="B13" s="121">
        <f>(B11)+(B12)</f>
        <v>0</v>
      </c>
      <c r="C13" s="122">
        <f>(C11)+(C12)</f>
        <v>-180</v>
      </c>
      <c r="D13" s="122">
        <f t="shared" si="0"/>
        <v>-180</v>
      </c>
    </row>
    <row r="14" spans="1:4" x14ac:dyDescent="0.25">
      <c r="A14" s="120" t="s">
        <v>226</v>
      </c>
      <c r="B14" s="119"/>
      <c r="C14" s="119"/>
      <c r="D14" s="123">
        <f t="shared" si="0"/>
        <v>0</v>
      </c>
    </row>
    <row r="15" spans="1:4" x14ac:dyDescent="0.25">
      <c r="A15" s="120" t="s">
        <v>233</v>
      </c>
      <c r="B15" s="119"/>
      <c r="C15" s="124">
        <v>-1740.75</v>
      </c>
      <c r="D15" s="124">
        <f t="shared" si="0"/>
        <v>-1740.75</v>
      </c>
    </row>
    <row r="16" spans="1:4" x14ac:dyDescent="0.25">
      <c r="A16" s="120" t="s">
        <v>228</v>
      </c>
      <c r="B16" s="121">
        <f>(B14)+(B15)</f>
        <v>0</v>
      </c>
      <c r="C16" s="122">
        <f>(C14)+(C15)</f>
        <v>-1740.75</v>
      </c>
      <c r="D16" s="122">
        <f t="shared" si="0"/>
        <v>-1740.75</v>
      </c>
    </row>
    <row r="17" spans="1:4" x14ac:dyDescent="0.25">
      <c r="A17" s="120" t="s">
        <v>229</v>
      </c>
      <c r="B17" s="119"/>
      <c r="C17" s="119"/>
      <c r="D17" s="123">
        <f t="shared" si="0"/>
        <v>0</v>
      </c>
    </row>
    <row r="18" spans="1:4" x14ac:dyDescent="0.25">
      <c r="A18" s="120" t="s">
        <v>230</v>
      </c>
      <c r="B18" s="123">
        <v>3243.6</v>
      </c>
      <c r="C18" s="124">
        <v>-899.46</v>
      </c>
      <c r="D18" s="123">
        <f>(B18)+(C18)</f>
        <v>2344.14</v>
      </c>
    </row>
    <row r="19" spans="1:4" x14ac:dyDescent="0.25">
      <c r="A19" s="120" t="s">
        <v>231</v>
      </c>
      <c r="B19" s="121">
        <f>(B17)+(B18)</f>
        <v>3243.6</v>
      </c>
      <c r="C19" s="122">
        <f>(C17)+(C18)</f>
        <v>-899.46</v>
      </c>
      <c r="D19" s="121">
        <f t="shared" si="0"/>
        <v>2344.14</v>
      </c>
    </row>
    <row r="20" spans="1:4" x14ac:dyDescent="0.25">
      <c r="A20" s="120" t="s">
        <v>309</v>
      </c>
      <c r="B20" s="123">
        <v>3250</v>
      </c>
      <c r="C20" s="124">
        <v>-978.96</v>
      </c>
      <c r="D20" s="123">
        <f t="shared" si="0"/>
        <v>2271.04</v>
      </c>
    </row>
    <row r="21" spans="1:4" x14ac:dyDescent="0.25">
      <c r="A21" s="120" t="s">
        <v>232</v>
      </c>
      <c r="B21" s="121">
        <f>((((((B6)+(B9))+(B10))+(B13))+(B16))+(B19))+(B20)</f>
        <v>6493.6</v>
      </c>
      <c r="C21" s="122">
        <f>((((((C6)+(C9))+(C10))+(C13))+(C16))+(C19))+(C20)</f>
        <v>-3799.17</v>
      </c>
      <c r="D21" s="121">
        <f t="shared" si="0"/>
        <v>2694.4300000000003</v>
      </c>
    </row>
    <row r="22" spans="1:4" x14ac:dyDescent="0.25">
      <c r="A22" s="120" t="s">
        <v>54</v>
      </c>
      <c r="B22" s="121">
        <f>B21</f>
        <v>6493.6</v>
      </c>
      <c r="C22" s="122">
        <f>C21</f>
        <v>-3799.17</v>
      </c>
      <c r="D22" s="121">
        <f t="shared" si="0"/>
        <v>2694.4300000000003</v>
      </c>
    </row>
    <row r="23" spans="1:4" x14ac:dyDescent="0.25">
      <c r="A23" s="120"/>
      <c r="B23" s="119"/>
      <c r="C23" s="119"/>
      <c r="D23" s="119"/>
    </row>
    <row r="26" spans="1:4" x14ac:dyDescent="0.25">
      <c r="A26" s="292"/>
      <c r="B26" s="293"/>
      <c r="C26" s="293"/>
      <c r="D26" s="293"/>
    </row>
  </sheetData>
  <mergeCells count="4">
    <mergeCell ref="A26:D26"/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B64"/>
  <sheetViews>
    <sheetView topLeftCell="A34" workbookViewId="0">
      <selection activeCell="R83" sqref="R83"/>
    </sheetView>
  </sheetViews>
  <sheetFormatPr defaultColWidth="9.140625" defaultRowHeight="15.75" customHeight="1" x14ac:dyDescent="0.25"/>
  <cols>
    <col min="1" max="1" width="45.5703125" style="101" customWidth="1"/>
    <col min="2" max="2" width="17.140625" style="101" customWidth="1"/>
    <col min="3" max="16384" width="9.140625" style="101"/>
  </cols>
  <sheetData>
    <row r="1" spans="1:2" customFormat="1" ht="15.75" customHeight="1" x14ac:dyDescent="0.25">
      <c r="A1" s="299" t="s">
        <v>0</v>
      </c>
      <c r="B1" s="300"/>
    </row>
    <row r="2" spans="1:2" customFormat="1" ht="15.75" customHeight="1" x14ac:dyDescent="0.25">
      <c r="A2" s="299" t="s">
        <v>112</v>
      </c>
      <c r="B2" s="300"/>
    </row>
    <row r="3" spans="1:2" customFormat="1" ht="15.75" customHeight="1" x14ac:dyDescent="0.2">
      <c r="A3" s="301">
        <v>45138</v>
      </c>
      <c r="B3" s="300"/>
    </row>
    <row r="4" spans="1:2" customFormat="1" ht="15.75" customHeight="1" x14ac:dyDescent="0.2"/>
    <row r="5" spans="1:2" customFormat="1" ht="15.75" customHeight="1" x14ac:dyDescent="0.2">
      <c r="A5" s="17"/>
      <c r="B5" s="117" t="s">
        <v>302</v>
      </c>
    </row>
    <row r="6" spans="1:2" customFormat="1" ht="15.75" customHeight="1" x14ac:dyDescent="0.2">
      <c r="A6" s="35" t="s">
        <v>301</v>
      </c>
      <c r="B6" s="36"/>
    </row>
    <row r="7" spans="1:2" customFormat="1" ht="15.75" customHeight="1" x14ac:dyDescent="0.2">
      <c r="A7" s="35" t="s">
        <v>300</v>
      </c>
      <c r="B7" s="36"/>
    </row>
    <row r="8" spans="1:2" customFormat="1" ht="15.75" customHeight="1" x14ac:dyDescent="0.2">
      <c r="A8" s="191" t="s">
        <v>396</v>
      </c>
      <c r="B8" s="37">
        <f>0</f>
        <v>0</v>
      </c>
    </row>
    <row r="9" spans="1:2" customFormat="1" ht="15.75" customHeight="1" x14ac:dyDescent="0.2">
      <c r="A9" s="35" t="s">
        <v>299</v>
      </c>
      <c r="B9" s="37">
        <f>9082.8</f>
        <v>9082.7999999999993</v>
      </c>
    </row>
    <row r="10" spans="1:2" customFormat="1" ht="15.75" customHeight="1" x14ac:dyDescent="0.2">
      <c r="A10" s="35" t="s">
        <v>298</v>
      </c>
      <c r="B10" s="37">
        <f>12933.31</f>
        <v>12933.31</v>
      </c>
    </row>
    <row r="11" spans="1:2" customFormat="1" ht="15.75" customHeight="1" x14ac:dyDescent="0.2">
      <c r="A11" s="35" t="s">
        <v>328</v>
      </c>
      <c r="B11" s="37">
        <f>3032.5</f>
        <v>3032.5</v>
      </c>
    </row>
    <row r="12" spans="1:2" customFormat="1" ht="15.75" customHeight="1" x14ac:dyDescent="0.2">
      <c r="A12" s="35" t="s">
        <v>297</v>
      </c>
      <c r="B12" s="37">
        <f>12935.6</f>
        <v>12935.6</v>
      </c>
    </row>
    <row r="13" spans="1:2" customFormat="1" ht="15.75" customHeight="1" x14ac:dyDescent="0.2">
      <c r="A13" s="35" t="s">
        <v>329</v>
      </c>
      <c r="B13" s="37">
        <f>530</f>
        <v>530</v>
      </c>
    </row>
    <row r="14" spans="1:2" customFormat="1" ht="15.75" customHeight="1" x14ac:dyDescent="0.2">
      <c r="A14" s="35" t="s">
        <v>296</v>
      </c>
      <c r="B14" s="37">
        <f>-20153.11</f>
        <v>-20153.11</v>
      </c>
    </row>
    <row r="15" spans="1:2" customFormat="1" ht="15.75" customHeight="1" x14ac:dyDescent="0.2">
      <c r="A15" s="35" t="s">
        <v>295</v>
      </c>
      <c r="B15" s="37">
        <f>-13215</f>
        <v>-13215</v>
      </c>
    </row>
    <row r="16" spans="1:2" customFormat="1" ht="15.75" customHeight="1" x14ac:dyDescent="0.2">
      <c r="A16" s="35" t="s">
        <v>294</v>
      </c>
      <c r="B16" s="147">
        <f>(((((((B8)+(B9))+(B10))+(B11))+(B12))+(B13))+(B14))+(B15)</f>
        <v>5146.0999999999985</v>
      </c>
    </row>
    <row r="17" spans="1:2" customFormat="1" ht="15.75" customHeight="1" x14ac:dyDescent="0.2">
      <c r="A17" s="35" t="s">
        <v>293</v>
      </c>
      <c r="B17" s="147">
        <f>B16</f>
        <v>5146.0999999999985</v>
      </c>
    </row>
    <row r="18" spans="1:2" customFormat="1" ht="15.75" customHeight="1" x14ac:dyDescent="0.2">
      <c r="A18" s="35" t="s">
        <v>292</v>
      </c>
      <c r="B18" s="36"/>
    </row>
    <row r="19" spans="1:2" customFormat="1" ht="15.75" customHeight="1" x14ac:dyDescent="0.2">
      <c r="A19" s="35" t="s">
        <v>291</v>
      </c>
      <c r="B19" s="36"/>
    </row>
    <row r="20" spans="1:2" customFormat="1" ht="15.75" customHeight="1" x14ac:dyDescent="0.2">
      <c r="A20" s="35" t="s">
        <v>290</v>
      </c>
      <c r="B20" s="37">
        <f>3445.46</f>
        <v>3445.46</v>
      </c>
    </row>
    <row r="21" spans="1:2" customFormat="1" ht="15.75" customHeight="1" x14ac:dyDescent="0.2">
      <c r="A21" s="35" t="s">
        <v>289</v>
      </c>
      <c r="B21" s="37">
        <f>282.08</f>
        <v>282.08</v>
      </c>
    </row>
    <row r="22" spans="1:2" customFormat="1" ht="15.75" customHeight="1" x14ac:dyDescent="0.2">
      <c r="A22" s="35" t="s">
        <v>288</v>
      </c>
      <c r="B22" s="37">
        <f>31868.57</f>
        <v>31868.57</v>
      </c>
    </row>
    <row r="23" spans="1:2" customFormat="1" ht="15.75" customHeight="1" x14ac:dyDescent="0.2">
      <c r="A23" s="35" t="s">
        <v>287</v>
      </c>
      <c r="B23" s="37">
        <f>25.17</f>
        <v>25.17</v>
      </c>
    </row>
    <row r="24" spans="1:2" customFormat="1" ht="15.75" customHeight="1" x14ac:dyDescent="0.2">
      <c r="A24" s="35" t="s">
        <v>286</v>
      </c>
      <c r="B24" s="147">
        <f>((((B19)+(B20))+(B21))+(B22))+(B23)</f>
        <v>35621.279999999999</v>
      </c>
    </row>
    <row r="25" spans="1:2" customFormat="1" ht="15.75" customHeight="1" x14ac:dyDescent="0.2">
      <c r="A25" s="35" t="s">
        <v>285</v>
      </c>
      <c r="B25" s="147">
        <f>B24</f>
        <v>35621.279999999999</v>
      </c>
    </row>
    <row r="26" spans="1:2" customFormat="1" ht="15.75" customHeight="1" x14ac:dyDescent="0.2">
      <c r="A26" s="35" t="s">
        <v>284</v>
      </c>
      <c r="B26" s="36"/>
    </row>
    <row r="27" spans="1:2" customFormat="1" ht="15.75" customHeight="1" x14ac:dyDescent="0.2">
      <c r="A27" s="35" t="s">
        <v>283</v>
      </c>
      <c r="B27" s="37">
        <f>3692.07</f>
        <v>3692.07</v>
      </c>
    </row>
    <row r="28" spans="1:2" customFormat="1" ht="15.75" customHeight="1" x14ac:dyDescent="0.2">
      <c r="A28" s="35" t="s">
        <v>282</v>
      </c>
      <c r="B28" s="37">
        <f>0</f>
        <v>0</v>
      </c>
    </row>
    <row r="29" spans="1:2" customFormat="1" ht="15.75" customHeight="1" x14ac:dyDescent="0.2">
      <c r="A29" s="35" t="s">
        <v>281</v>
      </c>
      <c r="B29" s="147">
        <f>(B27)+(B28)</f>
        <v>3692.07</v>
      </c>
    </row>
    <row r="30" spans="1:2" customFormat="1" ht="15.75" customHeight="1" x14ac:dyDescent="0.2">
      <c r="A30" s="35" t="s">
        <v>280</v>
      </c>
      <c r="B30" s="37">
        <f>0</f>
        <v>0</v>
      </c>
    </row>
    <row r="31" spans="1:2" customFormat="1" ht="15.75" customHeight="1" x14ac:dyDescent="0.2">
      <c r="A31" s="35" t="s">
        <v>326</v>
      </c>
      <c r="B31" s="37">
        <f>135.09</f>
        <v>135.09</v>
      </c>
    </row>
    <row r="32" spans="1:2" customFormat="1" ht="15.75" customHeight="1" x14ac:dyDescent="0.2">
      <c r="A32" s="35" t="s">
        <v>279</v>
      </c>
      <c r="B32" s="147">
        <f>((B29)+(B30))+(B31)</f>
        <v>3827.1600000000003</v>
      </c>
    </row>
    <row r="33" spans="1:2" customFormat="1" ht="15.75" customHeight="1" x14ac:dyDescent="0.2">
      <c r="A33" s="35" t="s">
        <v>278</v>
      </c>
      <c r="B33" s="36"/>
    </row>
    <row r="34" spans="1:2" customFormat="1" ht="15.75" customHeight="1" x14ac:dyDescent="0.2">
      <c r="A34" s="35" t="s">
        <v>277</v>
      </c>
      <c r="B34" s="37">
        <f>0</f>
        <v>0</v>
      </c>
    </row>
    <row r="35" spans="1:2" customFormat="1" ht="15.75" customHeight="1" x14ac:dyDescent="0.2">
      <c r="A35" s="35" t="s">
        <v>276</v>
      </c>
      <c r="B35" s="37">
        <f>1555</f>
        <v>1555</v>
      </c>
    </row>
    <row r="36" spans="1:2" customFormat="1" ht="15.75" customHeight="1" x14ac:dyDescent="0.2">
      <c r="A36" s="35" t="s">
        <v>275</v>
      </c>
      <c r="B36" s="37">
        <f>0</f>
        <v>0</v>
      </c>
    </row>
    <row r="37" spans="1:2" customFormat="1" ht="15.75" customHeight="1" x14ac:dyDescent="0.2">
      <c r="A37" s="35" t="s">
        <v>274</v>
      </c>
      <c r="B37" s="37">
        <f>0.3</f>
        <v>0.3</v>
      </c>
    </row>
    <row r="38" spans="1:2" customFormat="1" ht="15.75" customHeight="1" x14ac:dyDescent="0.2">
      <c r="A38" s="35" t="s">
        <v>11</v>
      </c>
      <c r="B38" s="147">
        <f>(((B34)+(B35))+(B36))+(B37)</f>
        <v>1555.3</v>
      </c>
    </row>
    <row r="39" spans="1:2" customFormat="1" ht="15.75" customHeight="1" x14ac:dyDescent="0.2">
      <c r="A39" s="35" t="s">
        <v>273</v>
      </c>
      <c r="B39" s="147">
        <f>((B25)+(B32))+(B38)</f>
        <v>41003.740000000005</v>
      </c>
    </row>
    <row r="40" spans="1:2" customFormat="1" ht="15.75" customHeight="1" x14ac:dyDescent="0.2">
      <c r="A40" s="35" t="s">
        <v>272</v>
      </c>
      <c r="B40" s="36"/>
    </row>
    <row r="41" spans="1:2" customFormat="1" ht="15.75" customHeight="1" x14ac:dyDescent="0.2">
      <c r="A41" s="35" t="s">
        <v>271</v>
      </c>
      <c r="B41" s="36"/>
    </row>
    <row r="42" spans="1:2" customFormat="1" ht="15.75" customHeight="1" x14ac:dyDescent="0.2">
      <c r="A42" s="35" t="s">
        <v>270</v>
      </c>
      <c r="B42" s="37">
        <f>1383.14</f>
        <v>1383.14</v>
      </c>
    </row>
    <row r="43" spans="1:2" customFormat="1" ht="15.75" customHeight="1" x14ac:dyDescent="0.2">
      <c r="A43" s="35" t="s">
        <v>269</v>
      </c>
      <c r="B43" s="147">
        <f>B42</f>
        <v>1383.14</v>
      </c>
    </row>
    <row r="44" spans="1:2" customFormat="1" ht="15.75" customHeight="1" x14ac:dyDescent="0.2">
      <c r="A44" s="35" t="s">
        <v>268</v>
      </c>
      <c r="B44" s="36"/>
    </row>
    <row r="45" spans="1:2" customFormat="1" ht="15.75" customHeight="1" x14ac:dyDescent="0.2">
      <c r="A45" s="35" t="s">
        <v>267</v>
      </c>
      <c r="B45" s="37">
        <f>0</f>
        <v>0</v>
      </c>
    </row>
    <row r="46" spans="1:2" customFormat="1" ht="15.75" customHeight="1" x14ac:dyDescent="0.2">
      <c r="A46" s="35" t="s">
        <v>266</v>
      </c>
      <c r="B46" s="37">
        <f>10642.46</f>
        <v>10642.46</v>
      </c>
    </row>
    <row r="47" spans="1:2" customFormat="1" ht="15.75" customHeight="1" x14ac:dyDescent="0.2">
      <c r="A47" s="35" t="s">
        <v>265</v>
      </c>
      <c r="B47" s="37">
        <f>0</f>
        <v>0</v>
      </c>
    </row>
    <row r="48" spans="1:2" customFormat="1" ht="15.75" customHeight="1" x14ac:dyDescent="0.2">
      <c r="A48" s="35" t="s">
        <v>264</v>
      </c>
      <c r="B48" s="147">
        <f>((B45)+(B46))+(B47)</f>
        <v>10642.46</v>
      </c>
    </row>
    <row r="49" spans="1:2" customFormat="1" ht="15.75" customHeight="1" x14ac:dyDescent="0.2">
      <c r="A49" s="35" t="s">
        <v>263</v>
      </c>
      <c r="B49" s="147">
        <f>(B43)+(B48)</f>
        <v>12025.599999999999</v>
      </c>
    </row>
    <row r="50" spans="1:2" customFormat="1" ht="15.75" customHeight="1" x14ac:dyDescent="0.2">
      <c r="A50" s="35" t="s">
        <v>262</v>
      </c>
      <c r="B50" s="147">
        <f>((B39)+(0))-(B49)</f>
        <v>28978.140000000007</v>
      </c>
    </row>
    <row r="51" spans="1:2" customFormat="1" ht="15.75" customHeight="1" x14ac:dyDescent="0.2">
      <c r="A51" s="35" t="s">
        <v>261</v>
      </c>
      <c r="B51" s="147">
        <f>((0)+(B17))+(B50)</f>
        <v>34124.240000000005</v>
      </c>
    </row>
    <row r="52" spans="1:2" customFormat="1" ht="15.75" customHeight="1" x14ac:dyDescent="0.2">
      <c r="A52" s="35" t="s">
        <v>156</v>
      </c>
      <c r="B52" s="147">
        <f>(((B51)-(0))-(0))-(0)</f>
        <v>34124.240000000005</v>
      </c>
    </row>
    <row r="53" spans="1:2" customFormat="1" ht="15.75" customHeight="1" x14ac:dyDescent="0.2">
      <c r="A53" s="35" t="s">
        <v>157</v>
      </c>
      <c r="B53" s="36"/>
    </row>
    <row r="54" spans="1:2" customFormat="1" ht="15.75" customHeight="1" x14ac:dyDescent="0.2">
      <c r="A54" s="35" t="s">
        <v>158</v>
      </c>
      <c r="B54" s="37">
        <f>49620.39</f>
        <v>49620.39</v>
      </c>
    </row>
    <row r="55" spans="1:2" customFormat="1" ht="15.75" customHeight="1" x14ac:dyDescent="0.2">
      <c r="A55" s="35" t="s">
        <v>159</v>
      </c>
      <c r="B55" s="37">
        <f>-15496.15</f>
        <v>-15496.15</v>
      </c>
    </row>
    <row r="56" spans="1:2" customFormat="1" ht="15.75" customHeight="1" x14ac:dyDescent="0.2">
      <c r="A56" s="35" t="s">
        <v>160</v>
      </c>
      <c r="B56" s="147">
        <f>(B54)+(B55)</f>
        <v>34124.239999999998</v>
      </c>
    </row>
    <row r="57" spans="1:2" customFormat="1" ht="15.75" customHeight="1" x14ac:dyDescent="0.2">
      <c r="A57" s="35"/>
      <c r="B57" s="36"/>
    </row>
    <row r="58" spans="1:2" customFormat="1" ht="15.75" customHeight="1" x14ac:dyDescent="0.2"/>
    <row r="59" spans="1:2" customFormat="1" ht="15.75" customHeight="1" x14ac:dyDescent="0.2"/>
    <row r="60" spans="1:2" customFormat="1" ht="15.75" customHeight="1" x14ac:dyDescent="0.2">
      <c r="A60" s="302" t="s">
        <v>330</v>
      </c>
      <c r="B60" s="300"/>
    </row>
    <row r="61" spans="1:2" customFormat="1" ht="15.75" customHeight="1" x14ac:dyDescent="0.2"/>
    <row r="62" spans="1:2" customFormat="1" ht="15.75" customHeight="1" x14ac:dyDescent="0.2"/>
    <row r="63" spans="1:2" customFormat="1" ht="15.75" customHeight="1" x14ac:dyDescent="0.2"/>
    <row r="64" spans="1:2" customFormat="1" ht="15.75" customHeight="1" x14ac:dyDescent="0.2"/>
  </sheetData>
  <mergeCells count="4">
    <mergeCell ref="A1:B1"/>
    <mergeCell ref="A2:B2"/>
    <mergeCell ref="A3:B3"/>
    <mergeCell ref="A60:B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4"/>
  <sheetViews>
    <sheetView workbookViewId="0">
      <selection activeCell="D37" sqref="D37"/>
    </sheetView>
  </sheetViews>
  <sheetFormatPr defaultRowHeight="12.75" x14ac:dyDescent="0.2"/>
  <cols>
    <col min="1" max="1" width="44.7109375" customWidth="1"/>
    <col min="2" max="2" width="19.140625" customWidth="1"/>
    <col min="3" max="3" width="4" customWidth="1"/>
    <col min="4" max="4" width="10.85546875" customWidth="1"/>
    <col min="5" max="5" width="10.5703125" customWidth="1"/>
    <col min="6" max="7" width="11.5703125" customWidth="1"/>
    <col min="8" max="8" width="11.7109375" customWidth="1"/>
    <col min="9" max="9" width="4.28515625" customWidth="1"/>
    <col min="10" max="10" width="13.42578125" customWidth="1"/>
    <col min="14" max="14" width="45" customWidth="1"/>
    <col min="15" max="15" width="18.85546875" customWidth="1"/>
  </cols>
  <sheetData>
    <row r="1" spans="1:10" x14ac:dyDescent="0.2">
      <c r="A1" s="304" t="s">
        <v>0</v>
      </c>
      <c r="B1" s="304"/>
    </row>
    <row r="2" spans="1:10" x14ac:dyDescent="0.2">
      <c r="A2" s="304" t="s">
        <v>112</v>
      </c>
      <c r="B2" s="304"/>
    </row>
    <row r="3" spans="1:10" x14ac:dyDescent="0.2">
      <c r="A3" s="304" t="s">
        <v>256</v>
      </c>
      <c r="B3" s="304"/>
    </row>
    <row r="4" spans="1:10" x14ac:dyDescent="0.2">
      <c r="B4" s="19" t="s">
        <v>113</v>
      </c>
      <c r="D4" s="305" t="s">
        <v>114</v>
      </c>
      <c r="E4" s="305"/>
      <c r="F4" s="305"/>
      <c r="G4" s="1"/>
      <c r="H4" s="1"/>
    </row>
    <row r="5" spans="1:10" x14ac:dyDescent="0.2">
      <c r="A5" s="17"/>
      <c r="B5" s="20" t="s">
        <v>115</v>
      </c>
      <c r="D5" t="s">
        <v>47</v>
      </c>
      <c r="F5" t="s">
        <v>116</v>
      </c>
      <c r="G5" t="s">
        <v>169</v>
      </c>
      <c r="H5" t="s">
        <v>117</v>
      </c>
      <c r="J5" s="21" t="s">
        <v>118</v>
      </c>
    </row>
    <row r="6" spans="1:10" ht="25.5" x14ac:dyDescent="0.2">
      <c r="A6" s="22" t="s">
        <v>119</v>
      </c>
      <c r="B6" s="23"/>
      <c r="D6" s="24" t="s">
        <v>120</v>
      </c>
      <c r="E6" s="24"/>
      <c r="F6" s="24" t="s">
        <v>121</v>
      </c>
      <c r="G6" s="24" t="s">
        <v>170</v>
      </c>
      <c r="H6" s="24" t="s">
        <v>121</v>
      </c>
    </row>
    <row r="7" spans="1:10" x14ac:dyDescent="0.2">
      <c r="A7" s="22" t="s">
        <v>122</v>
      </c>
      <c r="B7" s="25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2" t="s">
        <v>123</v>
      </c>
      <c r="B8" s="25"/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22" t="s">
        <v>124</v>
      </c>
      <c r="B9" s="25">
        <f>9287.1+8946.33+11810</f>
        <v>30043.43</v>
      </c>
      <c r="C9" s="26"/>
      <c r="D9" s="26"/>
      <c r="E9" s="26"/>
      <c r="F9" s="26"/>
      <c r="G9" s="26"/>
      <c r="H9" s="26"/>
      <c r="I9" s="26"/>
      <c r="J9" s="26">
        <f>SUM(B9:I9)</f>
        <v>30043.43</v>
      </c>
    </row>
    <row r="10" spans="1:10" x14ac:dyDescent="0.2">
      <c r="A10" s="22" t="s">
        <v>125</v>
      </c>
      <c r="B10" s="25">
        <f>-4202.46-11810</f>
        <v>-16012.46</v>
      </c>
      <c r="C10" s="26"/>
      <c r="D10" s="26"/>
      <c r="E10" s="26"/>
      <c r="F10" s="26"/>
      <c r="G10" s="26"/>
      <c r="H10" s="26">
        <v>0</v>
      </c>
      <c r="I10" s="26"/>
      <c r="J10" s="26">
        <f>SUM(B10:I10)</f>
        <v>-16012.46</v>
      </c>
    </row>
    <row r="11" spans="1:10" x14ac:dyDescent="0.2">
      <c r="A11" s="22" t="s">
        <v>126</v>
      </c>
      <c r="B11" s="25">
        <f>SUM(B8:B10)</f>
        <v>14030.970000000001</v>
      </c>
      <c r="C11" s="26"/>
      <c r="D11" s="26">
        <f>D9-D10</f>
        <v>0</v>
      </c>
      <c r="E11" s="26">
        <f>E9-E10</f>
        <v>0</v>
      </c>
      <c r="F11" s="26">
        <f>F9-F10</f>
        <v>0</v>
      </c>
      <c r="G11" s="26"/>
      <c r="H11" s="26">
        <f>H9-H10</f>
        <v>0</v>
      </c>
      <c r="I11" s="26"/>
      <c r="J11" s="26">
        <f>J9+J10</f>
        <v>14030.970000000001</v>
      </c>
    </row>
    <row r="12" spans="1:10" x14ac:dyDescent="0.2">
      <c r="A12" s="22"/>
      <c r="B12" s="25"/>
      <c r="C12" s="26"/>
      <c r="D12" s="26"/>
      <c r="E12" s="26"/>
      <c r="F12" s="26"/>
      <c r="G12" s="26"/>
      <c r="H12" s="26"/>
      <c r="I12" s="26"/>
      <c r="J12" s="26"/>
    </row>
    <row r="13" spans="1:10" x14ac:dyDescent="0.2">
      <c r="A13" s="22" t="s">
        <v>127</v>
      </c>
      <c r="B13" s="25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A14" s="22" t="s">
        <v>128</v>
      </c>
      <c r="B14" s="25"/>
      <c r="C14" s="26"/>
      <c r="D14" s="26"/>
      <c r="E14" s="26"/>
      <c r="F14" s="26"/>
      <c r="G14" s="26"/>
      <c r="H14" s="26"/>
      <c r="I14" s="26"/>
      <c r="J14" s="26">
        <f>SUM(B14:I14)</f>
        <v>0</v>
      </c>
    </row>
    <row r="15" spans="1:10" x14ac:dyDescent="0.2">
      <c r="A15" s="22" t="s">
        <v>129</v>
      </c>
      <c r="B15" s="27"/>
      <c r="C15" s="26"/>
      <c r="D15" s="26"/>
      <c r="E15" s="26"/>
      <c r="F15" s="26"/>
      <c r="G15" s="26"/>
      <c r="H15" s="26"/>
      <c r="I15" s="26"/>
      <c r="J15" s="26">
        <f>SUM(B15:I15)</f>
        <v>0</v>
      </c>
    </row>
    <row r="16" spans="1:10" x14ac:dyDescent="0.2">
      <c r="A16" s="22" t="s">
        <v>130</v>
      </c>
      <c r="B16" s="27"/>
      <c r="C16" s="26"/>
      <c r="D16" s="26"/>
      <c r="E16" s="26"/>
      <c r="F16" s="26"/>
      <c r="G16" s="26"/>
      <c r="H16" s="26"/>
      <c r="I16" s="26"/>
      <c r="J16" s="26">
        <f>SUM(B16:I16)</f>
        <v>0</v>
      </c>
    </row>
    <row r="17" spans="1:12" x14ac:dyDescent="0.2">
      <c r="A17" s="22" t="s">
        <v>131</v>
      </c>
      <c r="B17" s="28">
        <f>(B15)+(B16)</f>
        <v>0</v>
      </c>
      <c r="C17" s="29"/>
      <c r="D17" s="28">
        <f>(D15)+(D16)</f>
        <v>0</v>
      </c>
      <c r="E17" s="28">
        <f>(E15)+(E16)</f>
        <v>0</v>
      </c>
      <c r="F17" s="28">
        <f>(F15)+(F16)</f>
        <v>0</v>
      </c>
      <c r="G17" s="28">
        <f>(G15)+(G16)</f>
        <v>0</v>
      </c>
      <c r="H17" s="28">
        <f>(H15)+(H16)</f>
        <v>0</v>
      </c>
      <c r="I17" s="28"/>
      <c r="J17" s="28">
        <f>(J15)+(J16)</f>
        <v>0</v>
      </c>
    </row>
    <row r="18" spans="1:12" x14ac:dyDescent="0.2">
      <c r="A18" s="22" t="s">
        <v>132</v>
      </c>
      <c r="B18" s="25"/>
      <c r="C18" s="26"/>
      <c r="D18" s="26"/>
      <c r="E18" s="26"/>
      <c r="F18" s="26"/>
      <c r="G18" s="26"/>
      <c r="H18" s="26"/>
      <c r="I18" s="26"/>
      <c r="J18" s="26"/>
    </row>
    <row r="19" spans="1:12" x14ac:dyDescent="0.2">
      <c r="A19" s="22" t="s">
        <v>133</v>
      </c>
      <c r="B19" s="25"/>
      <c r="C19" s="26"/>
      <c r="D19" s="26"/>
      <c r="E19" s="26"/>
      <c r="F19" s="26"/>
      <c r="G19" s="26"/>
      <c r="H19" s="26"/>
      <c r="I19" s="26"/>
      <c r="J19" s="26"/>
    </row>
    <row r="20" spans="1:12" x14ac:dyDescent="0.2">
      <c r="A20" s="22" t="s">
        <v>134</v>
      </c>
      <c r="B20" s="27">
        <v>6179.29</v>
      </c>
      <c r="C20" s="26"/>
      <c r="D20" s="26"/>
      <c r="E20" s="26"/>
      <c r="F20" s="26"/>
      <c r="G20" s="26"/>
      <c r="H20" s="26"/>
      <c r="I20" s="26"/>
      <c r="J20" s="26">
        <f>SUM(B20:I20)</f>
        <v>6179.29</v>
      </c>
    </row>
    <row r="21" spans="1:12" x14ac:dyDescent="0.2">
      <c r="A21" s="22" t="s">
        <v>135</v>
      </c>
      <c r="B21" s="27">
        <v>475.78</v>
      </c>
      <c r="C21" s="26"/>
      <c r="D21" s="26"/>
      <c r="E21" s="26"/>
      <c r="F21" s="26"/>
      <c r="G21" s="26"/>
      <c r="H21" s="26"/>
      <c r="I21" s="26"/>
      <c r="J21" s="26">
        <f>SUM(B21:I21)</f>
        <v>475.78</v>
      </c>
    </row>
    <row r="22" spans="1:12" x14ac:dyDescent="0.2">
      <c r="A22" s="22" t="s">
        <v>136</v>
      </c>
      <c r="B22" s="27">
        <v>93085.88</v>
      </c>
      <c r="C22" s="26"/>
      <c r="D22" s="26"/>
      <c r="E22" s="26"/>
      <c r="F22" s="26">
        <v>0</v>
      </c>
      <c r="G22" s="26"/>
      <c r="H22" s="26"/>
      <c r="I22" s="26"/>
      <c r="J22" s="26">
        <f>SUM(B22:I22)</f>
        <v>93085.88</v>
      </c>
    </row>
    <row r="23" spans="1:12" x14ac:dyDescent="0.2">
      <c r="A23" s="22" t="s">
        <v>137</v>
      </c>
      <c r="B23" s="27">
        <v>6.65</v>
      </c>
      <c r="C23" s="26"/>
      <c r="D23" s="26"/>
      <c r="E23" s="26"/>
      <c r="F23" s="26"/>
      <c r="G23" s="26"/>
      <c r="H23" s="26"/>
      <c r="I23" s="26"/>
      <c r="J23" s="26">
        <f>SUM(B23:I23)</f>
        <v>6.65</v>
      </c>
    </row>
    <row r="24" spans="1:12" x14ac:dyDescent="0.2">
      <c r="A24" s="22" t="s">
        <v>138</v>
      </c>
      <c r="B24" s="28">
        <f>((((B19)+(B20))+(B21))+(B22))+(B23)</f>
        <v>99747.6</v>
      </c>
      <c r="C24" s="29"/>
      <c r="D24" s="28">
        <f>((((D19)+(D20))+(D21))+(D22))+(D23)</f>
        <v>0</v>
      </c>
      <c r="E24" s="28">
        <f>((((E19)+(E20))+(E21))+(E22))+(E23)</f>
        <v>0</v>
      </c>
      <c r="F24" s="28">
        <f>((((F19)+(F20))+(F21))+(F22))+(F23)</f>
        <v>0</v>
      </c>
      <c r="G24" s="28">
        <f>((((G19)+(G20))+(G21))+(G22))+(G23)</f>
        <v>0</v>
      </c>
      <c r="H24" s="28">
        <f>((((H19)+(H20))+(H21))+(H22))+(H23)</f>
        <v>0</v>
      </c>
      <c r="I24" s="28"/>
      <c r="J24" s="28">
        <f>((((J19)+(J20))+(J21))+(J22))+(J23)</f>
        <v>99747.6</v>
      </c>
    </row>
    <row r="25" spans="1:12" x14ac:dyDescent="0.2">
      <c r="A25" s="22" t="s">
        <v>139</v>
      </c>
      <c r="B25" s="28">
        <f>B24</f>
        <v>99747.6</v>
      </c>
      <c r="C25" s="26"/>
      <c r="D25" s="28">
        <f>D24</f>
        <v>0</v>
      </c>
      <c r="E25" s="28">
        <f>E24</f>
        <v>0</v>
      </c>
      <c r="F25" s="28">
        <f>F24</f>
        <v>0</v>
      </c>
      <c r="G25" s="28">
        <f>G24</f>
        <v>0</v>
      </c>
      <c r="H25" s="28">
        <f>H24</f>
        <v>0</v>
      </c>
      <c r="I25" s="26"/>
      <c r="J25" s="28">
        <f>J24</f>
        <v>99747.6</v>
      </c>
    </row>
    <row r="26" spans="1:12" x14ac:dyDescent="0.2">
      <c r="A26" s="22" t="s">
        <v>140</v>
      </c>
      <c r="B26" s="25"/>
      <c r="C26" s="26"/>
      <c r="D26" s="26"/>
      <c r="E26" s="26"/>
      <c r="F26" s="26"/>
      <c r="H26" s="26"/>
      <c r="I26" s="26"/>
      <c r="J26" s="26">
        <f>SUM(B26:I26)</f>
        <v>0</v>
      </c>
    </row>
    <row r="27" spans="1:12" x14ac:dyDescent="0.2">
      <c r="A27" s="22" t="s">
        <v>141</v>
      </c>
      <c r="B27" s="27">
        <v>2877.31</v>
      </c>
      <c r="C27" s="26"/>
      <c r="D27" s="26"/>
      <c r="E27" s="26"/>
      <c r="F27" s="26"/>
      <c r="G27" s="26"/>
      <c r="H27" s="26"/>
      <c r="I27" s="26"/>
      <c r="J27" s="26">
        <f>SUM(B27:I27)</f>
        <v>2877.31</v>
      </c>
      <c r="L27" s="13"/>
    </row>
    <row r="28" spans="1:12" x14ac:dyDescent="0.2">
      <c r="A28" s="33" t="s">
        <v>167</v>
      </c>
      <c r="B28" s="31">
        <v>0</v>
      </c>
      <c r="C28" s="26"/>
      <c r="D28" s="26"/>
      <c r="E28" s="26"/>
      <c r="F28" s="26"/>
      <c r="G28" s="26"/>
      <c r="H28" s="26"/>
      <c r="I28" s="26"/>
      <c r="J28" s="26">
        <f>SUM(B28:I28)</f>
        <v>0</v>
      </c>
      <c r="L28" s="13"/>
    </row>
    <row r="29" spans="1:12" x14ac:dyDescent="0.2">
      <c r="A29" s="33" t="s">
        <v>168</v>
      </c>
      <c r="B29" s="32">
        <f>(B27)+(B28)</f>
        <v>2877.31</v>
      </c>
      <c r="C29" s="26"/>
      <c r="D29" s="32">
        <f t="shared" ref="D29:J29" si="0">(D27)+(D28)</f>
        <v>0</v>
      </c>
      <c r="E29" s="32">
        <f t="shared" si="0"/>
        <v>0</v>
      </c>
      <c r="F29" s="32">
        <f t="shared" si="0"/>
        <v>0</v>
      </c>
      <c r="G29" s="32">
        <f t="shared" si="0"/>
        <v>0</v>
      </c>
      <c r="H29" s="32">
        <f t="shared" si="0"/>
        <v>0</v>
      </c>
      <c r="I29" s="26"/>
      <c r="J29" s="32">
        <f t="shared" si="0"/>
        <v>2877.31</v>
      </c>
      <c r="L29" s="13"/>
    </row>
    <row r="30" spans="1:12" x14ac:dyDescent="0.2">
      <c r="A30" s="22" t="s">
        <v>142</v>
      </c>
      <c r="B30" s="28">
        <f>B29</f>
        <v>2877.31</v>
      </c>
      <c r="C30" s="29"/>
      <c r="D30" s="28">
        <f t="shared" ref="D30:J30" si="1">D29</f>
        <v>0</v>
      </c>
      <c r="E30" s="28">
        <f t="shared" si="1"/>
        <v>0</v>
      </c>
      <c r="F30" s="28">
        <f t="shared" si="1"/>
        <v>0</v>
      </c>
      <c r="G30" s="28">
        <f t="shared" si="1"/>
        <v>0</v>
      </c>
      <c r="H30" s="28">
        <f t="shared" si="1"/>
        <v>0</v>
      </c>
      <c r="I30" s="28"/>
      <c r="J30" s="28">
        <f t="shared" si="1"/>
        <v>2877.31</v>
      </c>
    </row>
    <row r="31" spans="1:12" x14ac:dyDescent="0.2">
      <c r="A31" s="22" t="s">
        <v>143</v>
      </c>
      <c r="B31" s="28">
        <f>((B17)+(B25))+(B30)</f>
        <v>102624.91</v>
      </c>
      <c r="C31" s="29"/>
      <c r="D31" s="28">
        <f>((D17)+(D25))+(D30)</f>
        <v>0</v>
      </c>
      <c r="E31" s="28">
        <f t="shared" ref="E31:J31" si="2">((E17)+(E25))+(E30)</f>
        <v>0</v>
      </c>
      <c r="F31" s="28">
        <f t="shared" si="2"/>
        <v>0</v>
      </c>
      <c r="G31" s="28">
        <f t="shared" si="2"/>
        <v>0</v>
      </c>
      <c r="H31" s="28">
        <f t="shared" si="2"/>
        <v>0</v>
      </c>
      <c r="I31" s="28"/>
      <c r="J31" s="28">
        <f t="shared" si="2"/>
        <v>102624.91</v>
      </c>
    </row>
    <row r="32" spans="1:12" ht="25.5" x14ac:dyDescent="0.2">
      <c r="A32" s="22" t="s">
        <v>144</v>
      </c>
      <c r="B32" s="25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22" t="s">
        <v>145</v>
      </c>
      <c r="B33" s="25"/>
      <c r="C33" s="26"/>
      <c r="D33" s="26"/>
      <c r="E33" s="26"/>
      <c r="F33" s="26"/>
      <c r="G33" s="26"/>
      <c r="H33" s="26"/>
      <c r="I33" s="26"/>
      <c r="J33" s="26">
        <f>SUM(B33:I33)</f>
        <v>0</v>
      </c>
    </row>
    <row r="34" spans="1:10" x14ac:dyDescent="0.2">
      <c r="A34" s="22" t="s">
        <v>146</v>
      </c>
      <c r="B34" s="27">
        <v>-551.92999999999995</v>
      </c>
      <c r="C34" s="26"/>
      <c r="D34" s="26"/>
      <c r="E34" s="26"/>
      <c r="F34" s="26"/>
      <c r="G34" s="26"/>
      <c r="H34" s="26"/>
      <c r="I34" s="26"/>
      <c r="J34" s="26">
        <f>SUM(B34:I34)</f>
        <v>-551.92999999999995</v>
      </c>
    </row>
    <row r="35" spans="1:10" x14ac:dyDescent="0.2">
      <c r="A35" s="22" t="s">
        <v>147</v>
      </c>
      <c r="B35" s="28">
        <f>B34</f>
        <v>-551.92999999999995</v>
      </c>
      <c r="C35" s="29"/>
      <c r="D35" s="28">
        <f>D34</f>
        <v>0</v>
      </c>
      <c r="E35" s="28">
        <f>E34</f>
        <v>0</v>
      </c>
      <c r="F35" s="28">
        <f>F34</f>
        <v>0</v>
      </c>
      <c r="G35" s="28">
        <f>G34</f>
        <v>0</v>
      </c>
      <c r="H35" s="28">
        <f>H34</f>
        <v>0</v>
      </c>
      <c r="I35" s="28"/>
      <c r="J35" s="28">
        <f>J34</f>
        <v>-551.92999999999995</v>
      </c>
    </row>
    <row r="36" spans="1:10" x14ac:dyDescent="0.2">
      <c r="A36" s="22" t="s">
        <v>148</v>
      </c>
      <c r="B36" s="25"/>
      <c r="C36" s="26"/>
      <c r="D36" s="26"/>
      <c r="E36" s="26"/>
      <c r="F36" s="26"/>
      <c r="G36" s="26"/>
      <c r="H36" s="26"/>
      <c r="I36" s="26"/>
      <c r="J36" s="26"/>
    </row>
    <row r="37" spans="1:10" ht="25.5" x14ac:dyDescent="0.2">
      <c r="A37" s="22" t="s">
        <v>149</v>
      </c>
      <c r="B37" s="27">
        <v>0</v>
      </c>
      <c r="C37" s="27"/>
      <c r="D37" s="27"/>
      <c r="E37" s="27"/>
      <c r="F37" s="27"/>
      <c r="G37" s="27"/>
      <c r="H37" s="27"/>
      <c r="I37" s="27"/>
      <c r="J37" s="26">
        <f>SUM(B37:I37)</f>
        <v>0</v>
      </c>
    </row>
    <row r="38" spans="1:10" x14ac:dyDescent="0.2">
      <c r="A38" s="22" t="s">
        <v>150</v>
      </c>
      <c r="B38" s="27">
        <v>-13499.55</v>
      </c>
      <c r="C38" s="27"/>
      <c r="D38" s="27"/>
      <c r="E38" s="27"/>
      <c r="F38" s="27"/>
      <c r="G38" s="27"/>
      <c r="H38" s="27"/>
      <c r="I38" s="27"/>
      <c r="J38" s="26">
        <f>SUM(B38:I38)</f>
        <v>-13499.55</v>
      </c>
    </row>
    <row r="39" spans="1:10" ht="25.5" x14ac:dyDescent="0.2">
      <c r="A39" s="22" t="s">
        <v>151</v>
      </c>
      <c r="B39" s="27">
        <v>-411.29</v>
      </c>
      <c r="C39" s="27"/>
      <c r="D39" s="27">
        <f>-D27</f>
        <v>0</v>
      </c>
      <c r="E39" s="27"/>
      <c r="F39" s="27"/>
      <c r="G39" s="27"/>
      <c r="H39" s="27"/>
      <c r="I39" s="27"/>
      <c r="J39" s="26">
        <f>SUM(B39:I39)</f>
        <v>-411.29</v>
      </c>
    </row>
    <row r="40" spans="1:10" x14ac:dyDescent="0.2">
      <c r="A40" s="22" t="s">
        <v>152</v>
      </c>
      <c r="B40" s="28">
        <f>(B37)+(B38)+B39</f>
        <v>-13910.84</v>
      </c>
      <c r="C40" s="29"/>
      <c r="D40" s="28">
        <f>(D37)+(D38)+D39</f>
        <v>0</v>
      </c>
      <c r="E40" s="28">
        <f>(E37)+(E38)+E39</f>
        <v>0</v>
      </c>
      <c r="F40" s="28">
        <f>(F37)+(F38)+F39</f>
        <v>0</v>
      </c>
      <c r="G40" s="28">
        <f>(G37)+(G38)+G39</f>
        <v>0</v>
      </c>
      <c r="H40" s="28">
        <f>(H37)+(H38)+H39</f>
        <v>0</v>
      </c>
      <c r="I40" s="28"/>
      <c r="J40" s="28">
        <f>(J37)+(J38)+J39</f>
        <v>-13910.84</v>
      </c>
    </row>
    <row r="41" spans="1:10" ht="25.5" x14ac:dyDescent="0.2">
      <c r="A41" s="22" t="s">
        <v>153</v>
      </c>
      <c r="B41" s="28">
        <f>(B35)+(B40)</f>
        <v>-14462.77</v>
      </c>
      <c r="C41" s="29"/>
      <c r="D41" s="28">
        <f>(D35)+(D40)</f>
        <v>0</v>
      </c>
      <c r="E41" s="28">
        <f>(E35)+(E40)</f>
        <v>0</v>
      </c>
      <c r="F41" s="28">
        <f>(F35)+(F40)</f>
        <v>0</v>
      </c>
      <c r="G41" s="28">
        <f>(G35)+(G40)</f>
        <v>0</v>
      </c>
      <c r="H41" s="28">
        <f>(H35)+(H40)</f>
        <v>0</v>
      </c>
      <c r="I41" s="28"/>
      <c r="J41" s="28">
        <f>(J35)+(J40)</f>
        <v>-14462.77</v>
      </c>
    </row>
    <row r="42" spans="1:10" x14ac:dyDescent="0.2">
      <c r="A42" s="22" t="s">
        <v>154</v>
      </c>
      <c r="B42" s="28">
        <f>(B31)+(B41)</f>
        <v>88162.14</v>
      </c>
      <c r="C42" s="29"/>
      <c r="D42" s="28">
        <f>(D31)+(D41)</f>
        <v>0</v>
      </c>
      <c r="E42" s="28">
        <f>(E31)-(E41)</f>
        <v>0</v>
      </c>
      <c r="F42" s="28">
        <f>(F31)-(F41)</f>
        <v>0</v>
      </c>
      <c r="G42" s="28">
        <f>(G31)-(G41)</f>
        <v>0</v>
      </c>
      <c r="H42" s="28">
        <f>(H31)-(H41)</f>
        <v>0</v>
      </c>
      <c r="I42" s="28"/>
      <c r="J42" s="28">
        <f>(J31)+(J41)</f>
        <v>88162.14</v>
      </c>
    </row>
    <row r="43" spans="1:10" x14ac:dyDescent="0.2">
      <c r="A43" s="22" t="s">
        <v>155</v>
      </c>
      <c r="B43" s="28">
        <f>(B11)+(B42)</f>
        <v>102193.11</v>
      </c>
      <c r="C43" s="29"/>
      <c r="D43" s="28">
        <f>(D11)+(D42)</f>
        <v>0</v>
      </c>
      <c r="E43" s="28">
        <f>(E11)+(E42)</f>
        <v>0</v>
      </c>
      <c r="F43" s="28">
        <f>(F11)+(F42)</f>
        <v>0</v>
      </c>
      <c r="G43" s="28">
        <f>(G11)+(G42)</f>
        <v>0</v>
      </c>
      <c r="H43" s="28">
        <f>(H11)+(H42)</f>
        <v>0</v>
      </c>
      <c r="I43" s="28"/>
      <c r="J43" s="28">
        <f>(J11)+(J42)</f>
        <v>102193.11</v>
      </c>
    </row>
    <row r="44" spans="1:10" x14ac:dyDescent="0.2">
      <c r="A44" s="22" t="s">
        <v>156</v>
      </c>
      <c r="B44" s="28">
        <f>B43</f>
        <v>102193.11</v>
      </c>
      <c r="C44" s="29"/>
      <c r="D44" s="28">
        <f>D43</f>
        <v>0</v>
      </c>
      <c r="E44" s="28">
        <f>E43</f>
        <v>0</v>
      </c>
      <c r="F44" s="28">
        <f>F43</f>
        <v>0</v>
      </c>
      <c r="G44" s="28">
        <f>G43</f>
        <v>0</v>
      </c>
      <c r="H44" s="28">
        <f>H43</f>
        <v>0</v>
      </c>
      <c r="I44" s="28"/>
      <c r="J44" s="28">
        <f>J43</f>
        <v>102193.11</v>
      </c>
    </row>
    <row r="45" spans="1:10" x14ac:dyDescent="0.2">
      <c r="A45" s="22" t="s">
        <v>157</v>
      </c>
      <c r="B45" s="25"/>
      <c r="C45" s="26"/>
      <c r="D45" s="26"/>
      <c r="E45" s="26"/>
      <c r="F45" s="26"/>
      <c r="G45" s="26"/>
      <c r="H45" s="26"/>
      <c r="I45" s="26"/>
      <c r="J45" s="26"/>
    </row>
    <row r="46" spans="1:10" x14ac:dyDescent="0.2">
      <c r="A46" s="22" t="s">
        <v>158</v>
      </c>
      <c r="B46" s="27">
        <v>74556.06</v>
      </c>
      <c r="C46" s="26"/>
      <c r="D46" s="26"/>
      <c r="E46" s="26"/>
      <c r="F46" s="26"/>
      <c r="G46" s="26"/>
      <c r="H46" s="26"/>
      <c r="I46" s="26"/>
      <c r="J46" s="26">
        <f>SUM(B46:I46)</f>
        <v>74556.06</v>
      </c>
    </row>
    <row r="47" spans="1:10" x14ac:dyDescent="0.2">
      <c r="A47" s="22" t="s">
        <v>159</v>
      </c>
      <c r="B47" s="27">
        <v>27637.05</v>
      </c>
      <c r="C47" s="26"/>
      <c r="D47" s="26"/>
      <c r="E47" s="26"/>
      <c r="F47" s="26"/>
      <c r="G47" s="26"/>
      <c r="H47" s="26"/>
      <c r="I47" s="26"/>
      <c r="J47" s="26">
        <f>SUM(B47:I47)</f>
        <v>27637.05</v>
      </c>
    </row>
    <row r="48" spans="1:10" x14ac:dyDescent="0.2">
      <c r="A48" s="22" t="s">
        <v>160</v>
      </c>
      <c r="B48" s="28">
        <f>(B46)+(B47)</f>
        <v>102193.11</v>
      </c>
      <c r="C48" s="26"/>
      <c r="D48" s="28">
        <f>(D46)+(D47)</f>
        <v>0</v>
      </c>
      <c r="E48" s="28">
        <f>(E46)+(E47)</f>
        <v>0</v>
      </c>
      <c r="F48" s="28">
        <f>(F46)+(F47)</f>
        <v>0</v>
      </c>
      <c r="G48" s="28">
        <f>(G46)+(G47)</f>
        <v>0</v>
      </c>
      <c r="H48" s="28">
        <f>(H46)+(H47)</f>
        <v>0</v>
      </c>
      <c r="I48" s="28"/>
      <c r="J48" s="28">
        <f>(J46)+(J47)</f>
        <v>102193.11</v>
      </c>
    </row>
    <row r="49" spans="1:10" x14ac:dyDescent="0.2">
      <c r="A49" s="22"/>
      <c r="B49" s="25"/>
      <c r="C49" s="26"/>
      <c r="D49" s="26"/>
      <c r="E49" s="26"/>
      <c r="F49" s="26"/>
      <c r="G49" s="26"/>
      <c r="H49" s="26"/>
      <c r="I49" s="26"/>
      <c r="J49" s="26"/>
    </row>
    <row r="52" spans="1:10" x14ac:dyDescent="0.2">
      <c r="A52" s="306"/>
      <c r="B52" s="306"/>
    </row>
    <row r="54" spans="1:10" x14ac:dyDescent="0.2">
      <c r="A54" s="303"/>
      <c r="B54" s="303"/>
    </row>
  </sheetData>
  <sheetProtection selectLockedCells="1" selectUnlockedCells="1"/>
  <mergeCells count="6">
    <mergeCell ref="A54:B54"/>
    <mergeCell ref="A1:B1"/>
    <mergeCell ref="A2:B2"/>
    <mergeCell ref="A3:B3"/>
    <mergeCell ref="D4:F4"/>
    <mergeCell ref="A52:B5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G31"/>
  <sheetViews>
    <sheetView zoomScale="90" zoomScaleNormal="90" workbookViewId="0">
      <selection activeCell="G44" sqref="G44"/>
    </sheetView>
  </sheetViews>
  <sheetFormatPr defaultRowHeight="12.75" x14ac:dyDescent="0.2"/>
  <cols>
    <col min="1" max="1" width="25.28515625" customWidth="1"/>
    <col min="2" max="2" width="17.5703125" customWidth="1"/>
    <col min="3" max="3" width="15.85546875" customWidth="1"/>
    <col min="4" max="4" width="14.28515625" customWidth="1"/>
    <col min="5" max="5" width="14.7109375" customWidth="1"/>
    <col min="6" max="6" width="13" customWidth="1"/>
    <col min="7" max="7" width="25.28515625" customWidth="1"/>
    <col min="8" max="8" width="31.42578125" customWidth="1"/>
  </cols>
  <sheetData>
    <row r="1" spans="1:7" ht="18" x14ac:dyDescent="0.25">
      <c r="A1" s="299" t="s">
        <v>0</v>
      </c>
      <c r="B1" s="300"/>
      <c r="C1" s="300"/>
      <c r="D1" s="300"/>
    </row>
    <row r="2" spans="1:7" ht="18" x14ac:dyDescent="0.25">
      <c r="A2" s="299" t="s">
        <v>163</v>
      </c>
      <c r="B2" s="300"/>
      <c r="C2" s="300"/>
      <c r="D2" s="300"/>
    </row>
    <row r="3" spans="1:7" x14ac:dyDescent="0.2">
      <c r="A3" s="307" t="s">
        <v>323</v>
      </c>
      <c r="B3" s="307"/>
      <c r="C3" s="307"/>
      <c r="D3" s="307"/>
    </row>
    <row r="5" spans="1:7" x14ac:dyDescent="0.2">
      <c r="A5" s="17"/>
      <c r="B5" s="34" t="s">
        <v>55</v>
      </c>
      <c r="C5" s="34" t="s">
        <v>72</v>
      </c>
      <c r="D5" s="34" t="s">
        <v>111</v>
      </c>
      <c r="E5" s="34" t="s">
        <v>241</v>
      </c>
      <c r="F5" s="34" t="s">
        <v>40</v>
      </c>
    </row>
    <row r="6" spans="1:7" x14ac:dyDescent="0.2">
      <c r="A6" s="35" t="s">
        <v>2</v>
      </c>
      <c r="B6" s="36"/>
      <c r="C6" s="36"/>
      <c r="D6" s="37">
        <v>0</v>
      </c>
    </row>
    <row r="7" spans="1:7" x14ac:dyDescent="0.2">
      <c r="A7" s="35" t="s">
        <v>221</v>
      </c>
      <c r="B7" s="36"/>
      <c r="C7" s="36"/>
      <c r="D7" s="37">
        <v>0</v>
      </c>
    </row>
    <row r="8" spans="1:7" ht="15" x14ac:dyDescent="0.25">
      <c r="A8" s="141" t="s">
        <v>222</v>
      </c>
      <c r="B8" s="37">
        <v>12095.1</v>
      </c>
      <c r="C8" s="38">
        <f>-4312.16+390</f>
        <v>-3922.16</v>
      </c>
      <c r="D8" s="139">
        <f>B8+C8</f>
        <v>8172.9400000000005</v>
      </c>
      <c r="E8" s="142">
        <v>-8918.77</v>
      </c>
      <c r="F8" s="143">
        <f>E8+D8</f>
        <v>-745.82999999999993</v>
      </c>
      <c r="G8" s="142" t="s">
        <v>322</v>
      </c>
    </row>
    <row r="9" spans="1:7" x14ac:dyDescent="0.2">
      <c r="A9" s="35" t="s">
        <v>223</v>
      </c>
      <c r="B9" s="39">
        <f>B7+B8</f>
        <v>12095.1</v>
      </c>
      <c r="C9" s="39">
        <f>C7+C8</f>
        <v>-3922.16</v>
      </c>
      <c r="D9" s="39">
        <f>B9+C9</f>
        <v>8172.9400000000005</v>
      </c>
      <c r="F9" s="92"/>
    </row>
    <row r="10" spans="1:7" x14ac:dyDescent="0.2">
      <c r="A10" s="35" t="s">
        <v>224</v>
      </c>
      <c r="B10" s="37">
        <v>5384</v>
      </c>
      <c r="C10" s="38">
        <v>-4924.1099999999997</v>
      </c>
      <c r="D10" s="37">
        <v>459.89000000000033</v>
      </c>
    </row>
    <row r="11" spans="1:7" x14ac:dyDescent="0.2">
      <c r="A11" s="35" t="s">
        <v>225</v>
      </c>
      <c r="B11" s="37"/>
      <c r="C11" s="38"/>
      <c r="D11" s="37">
        <v>0</v>
      </c>
    </row>
    <row r="12" spans="1:7" ht="22.5" x14ac:dyDescent="0.2">
      <c r="A12" s="35" t="s">
        <v>252</v>
      </c>
      <c r="B12" s="139">
        <v>6000</v>
      </c>
      <c r="C12" s="140">
        <v>-5994.73</v>
      </c>
      <c r="D12" s="139">
        <f t="shared" ref="D12:D18" si="0">B12+C12</f>
        <v>5.2700000000004366</v>
      </c>
    </row>
    <row r="13" spans="1:7" x14ac:dyDescent="0.2">
      <c r="A13" s="35" t="s">
        <v>253</v>
      </c>
      <c r="B13" s="39">
        <v>6000</v>
      </c>
      <c r="C13" s="39">
        <v>-5994.73</v>
      </c>
      <c r="D13" s="39">
        <f t="shared" si="0"/>
        <v>5.2700000000004366</v>
      </c>
    </row>
    <row r="14" spans="1:7" x14ac:dyDescent="0.2">
      <c r="A14" s="35" t="s">
        <v>226</v>
      </c>
      <c r="B14" s="36"/>
      <c r="C14" s="36"/>
      <c r="D14" s="37">
        <f t="shared" si="0"/>
        <v>0</v>
      </c>
    </row>
    <row r="15" spans="1:7" x14ac:dyDescent="0.2">
      <c r="A15" s="35" t="s">
        <v>233</v>
      </c>
      <c r="B15" s="37">
        <v>4680</v>
      </c>
      <c r="C15" s="38">
        <v>-4939.05</v>
      </c>
      <c r="D15" s="37">
        <f t="shared" si="0"/>
        <v>-259.05000000000018</v>
      </c>
    </row>
    <row r="16" spans="1:7" ht="22.5" x14ac:dyDescent="0.2">
      <c r="A16" s="35" t="s">
        <v>227</v>
      </c>
      <c r="B16" s="37">
        <v>3556</v>
      </c>
      <c r="C16" s="38">
        <v>-3556</v>
      </c>
      <c r="D16" s="37">
        <f t="shared" si="0"/>
        <v>0</v>
      </c>
    </row>
    <row r="17" spans="1:4" x14ac:dyDescent="0.2">
      <c r="A17" s="35" t="s">
        <v>228</v>
      </c>
      <c r="B17" s="39">
        <f>B15+B16</f>
        <v>8236</v>
      </c>
      <c r="C17" s="39">
        <f>C15+C16</f>
        <v>-8495.0499999999993</v>
      </c>
      <c r="D17" s="39">
        <f t="shared" si="0"/>
        <v>-259.04999999999927</v>
      </c>
    </row>
    <row r="18" spans="1:4" x14ac:dyDescent="0.2">
      <c r="A18" s="35" t="s">
        <v>23</v>
      </c>
      <c r="B18" s="37">
        <v>3250</v>
      </c>
      <c r="C18" s="38">
        <v>-1981.72</v>
      </c>
      <c r="D18" s="37">
        <f t="shared" si="0"/>
        <v>1268.28</v>
      </c>
    </row>
    <row r="19" spans="1:4" x14ac:dyDescent="0.2">
      <c r="A19" s="35" t="s">
        <v>229</v>
      </c>
      <c r="B19" s="36"/>
      <c r="C19" s="36"/>
      <c r="D19" s="37">
        <v>0</v>
      </c>
    </row>
    <row r="20" spans="1:4" ht="22.5" x14ac:dyDescent="0.2">
      <c r="A20" s="35" t="s">
        <v>230</v>
      </c>
      <c r="B20" s="37">
        <v>7324.47</v>
      </c>
      <c r="C20" s="38">
        <v>-5348.58</v>
      </c>
      <c r="D20" s="37">
        <f t="shared" ref="D20:D25" si="1">B20+C20</f>
        <v>1975.8900000000003</v>
      </c>
    </row>
    <row r="21" spans="1:4" x14ac:dyDescent="0.2">
      <c r="A21" s="35" t="s">
        <v>231</v>
      </c>
      <c r="B21" s="39">
        <f>B20+B19</f>
        <v>7324.47</v>
      </c>
      <c r="C21" s="39">
        <f>C20+C19</f>
        <v>-5348.58</v>
      </c>
      <c r="D21" s="40">
        <f t="shared" si="1"/>
        <v>1975.8900000000003</v>
      </c>
    </row>
    <row r="22" spans="1:4" x14ac:dyDescent="0.2">
      <c r="A22" s="35" t="s">
        <v>234</v>
      </c>
      <c r="B22" s="37">
        <v>4200</v>
      </c>
      <c r="C22" s="38">
        <v>-3243.96</v>
      </c>
      <c r="D22" s="37">
        <f t="shared" si="1"/>
        <v>956.04</v>
      </c>
    </row>
    <row r="23" spans="1:4" x14ac:dyDescent="0.2">
      <c r="A23" s="35" t="s">
        <v>236</v>
      </c>
      <c r="B23" s="36"/>
      <c r="C23" s="36"/>
      <c r="D23" s="37">
        <f t="shared" si="1"/>
        <v>0</v>
      </c>
    </row>
    <row r="24" spans="1:4" x14ac:dyDescent="0.2">
      <c r="A24" s="141" t="s">
        <v>237</v>
      </c>
      <c r="B24" s="37">
        <v>11500</v>
      </c>
      <c r="C24" s="38">
        <v>-11500</v>
      </c>
      <c r="D24" s="37">
        <f t="shared" si="1"/>
        <v>0</v>
      </c>
    </row>
    <row r="25" spans="1:4" x14ac:dyDescent="0.2">
      <c r="A25" s="35" t="s">
        <v>238</v>
      </c>
      <c r="B25" s="37">
        <v>2700</v>
      </c>
      <c r="C25" s="38">
        <v>-2693.37</v>
      </c>
      <c r="D25" s="37">
        <f t="shared" si="1"/>
        <v>6.6300000000001091</v>
      </c>
    </row>
    <row r="26" spans="1:4" x14ac:dyDescent="0.2">
      <c r="A26" s="35" t="s">
        <v>239</v>
      </c>
      <c r="B26" s="39">
        <f>B24+B25</f>
        <v>14200</v>
      </c>
      <c r="C26" s="40">
        <f>C24+C25</f>
        <v>-14193.369999999999</v>
      </c>
      <c r="D26" s="39">
        <f>D24+D25</f>
        <v>6.6300000000001091</v>
      </c>
    </row>
    <row r="27" spans="1:4" x14ac:dyDescent="0.2">
      <c r="A27" s="35" t="s">
        <v>54</v>
      </c>
      <c r="B27" s="39">
        <f>B9+B10+B13+B17+B18+B21+B22+B26</f>
        <v>60689.57</v>
      </c>
      <c r="C27" s="40">
        <f>C9+C10+C13+C17+C18+C21+C22+C26</f>
        <v>-48103.679999999993</v>
      </c>
      <c r="D27" s="39">
        <f>B27+C27</f>
        <v>12585.890000000007</v>
      </c>
    </row>
    <row r="28" spans="1:4" x14ac:dyDescent="0.2">
      <c r="A28" s="35"/>
      <c r="B28" s="36"/>
      <c r="C28" s="36"/>
      <c r="D28" s="36"/>
    </row>
    <row r="30" spans="1:4" x14ac:dyDescent="0.2">
      <c r="B30" s="100"/>
      <c r="C30" s="100"/>
    </row>
    <row r="31" spans="1:4" x14ac:dyDescent="0.2">
      <c r="A31" s="302"/>
      <c r="B31" s="300"/>
      <c r="C31" s="300"/>
      <c r="D31" s="300"/>
    </row>
  </sheetData>
  <mergeCells count="4">
    <mergeCell ref="A1:D1"/>
    <mergeCell ref="A2:D2"/>
    <mergeCell ref="A3:D3"/>
    <mergeCell ref="A31:D31"/>
  </mergeCell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9E2BCB20C7B04990B299EFED389CFD" ma:contentTypeVersion="14" ma:contentTypeDescription="Create a new document." ma:contentTypeScope="" ma:versionID="f74d648f9e2de79fe566f91391f559e2">
  <xsd:schema xmlns:xsd="http://www.w3.org/2001/XMLSchema" xmlns:xs="http://www.w3.org/2001/XMLSchema" xmlns:p="http://schemas.microsoft.com/office/2006/metadata/properties" xmlns:ns2="3141e477-ae42-4145-902d-5ff16c2cbe51" xmlns:ns3="f98c2d35-f6d7-4ba4-a68f-32584a1a5c55" targetNamespace="http://schemas.microsoft.com/office/2006/metadata/properties" ma:root="true" ma:fieldsID="d576e7efaee74ad88b4bd63b679cf2f9" ns2:_="" ns3:_="">
    <xsd:import namespace="3141e477-ae42-4145-902d-5ff16c2cbe51"/>
    <xsd:import namespace="f98c2d35-f6d7-4ba4-a68f-32584a1a5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1e477-ae42-4145-902d-5ff16c2cb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bae4bb-a501-43cf-b3b6-6110671af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c2d35-f6d7-4ba4-a68f-32584a1a5c5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6c5306-010f-48a2-bfc3-1c1c4b959432}" ma:internalName="TaxCatchAll" ma:showField="CatchAllData" ma:web="f98c2d35-f6d7-4ba4-a68f-32584a1a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2D71F-BE83-42F7-B416-8CBBC5C6090D}"/>
</file>

<file path=customXml/itemProps2.xml><?xml version="1.0" encoding="utf-8"?>
<ds:datastoreItem xmlns:ds="http://schemas.openxmlformats.org/officeDocument/2006/customXml" ds:itemID="{9E92C1B6-D7F7-4B8A-BD77-887C848E01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Info</vt:lpstr>
      <vt:lpstr>H4 20-21 summary</vt:lpstr>
      <vt:lpstr>Open Restricted Funds</vt:lpstr>
      <vt:lpstr>Funds Analysis</vt:lpstr>
      <vt:lpstr>Business Plan 17-18</vt:lpstr>
      <vt:lpstr>Movement rec</vt:lpstr>
      <vt:lpstr>Balance Sheet</vt:lpstr>
      <vt:lpstr>Balance Sheet Q2 16_17</vt:lpstr>
      <vt:lpstr>Restricted Fund Status</vt:lpstr>
      <vt:lpstr>Restricted Funds Mvmt Rec</vt:lpstr>
      <vt:lpstr>Accruals (2)</vt:lpstr>
      <vt:lpstr>Prepayments (2)</vt:lpstr>
      <vt:lpstr>Furlough</vt:lpstr>
      <vt:lpstr>Business Plan 17_18</vt:lpstr>
      <vt:lpstr>Business Plan 17_18 Revised</vt:lpstr>
      <vt:lpstr>Prepayments</vt:lpstr>
      <vt:lpstr>Accruals</vt:lpstr>
      <vt:lpstr>Staff cost</vt:lpstr>
      <vt:lpstr>Budget</vt:lpstr>
      <vt:lpstr>Adjustments</vt:lpstr>
      <vt:lpstr>'H4 20-21 summary'!Print_Area</vt:lpstr>
      <vt:lpstr>'H4 20-21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</dc:creator>
  <cp:lastModifiedBy>Michaela Anderson</cp:lastModifiedBy>
  <cp:lastPrinted>2022-08-25T10:26:15Z</cp:lastPrinted>
  <dcterms:created xsi:type="dcterms:W3CDTF">2015-02-03T14:56:57Z</dcterms:created>
  <dcterms:modified xsi:type="dcterms:W3CDTF">2023-11-08T11:54:22Z</dcterms:modified>
</cp:coreProperties>
</file>