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3.xml" ContentType="application/vnd.ms-excel.threadedcomments+xml"/>
  <Override PartName="/xl/threadedComments/threadedComment2.xml" ContentType="application/vnd.ms-excel.threadedcomments+xml"/>
  <Override PartName="/xl/persons/person.xml" ContentType="application/vnd.ms-excel.perso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thekenilworthcentre.sharepoint.com/sites/theKenilworthCentre/Shared Documents/General/Shared Drive 23/03. Governance/Monthly Trustee Reports from Nov 22/Aug 2023/"/>
    </mc:Choice>
  </mc:AlternateContent>
  <xr:revisionPtr revIDLastSave="0" documentId="8_{5C7441B9-7575-4280-82B8-C3E50D6689AA}" xr6:coauthVersionLast="47" xr6:coauthVersionMax="47" xr10:uidLastSave="{00000000-0000-0000-0000-000000000000}"/>
  <bookViews>
    <workbookView xWindow="-120" yWindow="-120" windowWidth="20730" windowHeight="11160" tabRatio="750" activeTab="4" xr2:uid="{00000000-000D-0000-FFFF-FFFF00000000}"/>
  </bookViews>
  <sheets>
    <sheet name="Info" sheetId="12" r:id="rId1"/>
    <sheet name="H4 20-21 summary" sheetId="2" r:id="rId2"/>
    <sheet name="Funds Analysis" sheetId="3" r:id="rId3"/>
    <sheet name="Business Plan 17-18" sheetId="15" state="hidden" r:id="rId4"/>
    <sheet name="Open Restricted Funds" sheetId="17" r:id="rId5"/>
    <sheet name="Movement rec" sheetId="19" state="hidden" r:id="rId6"/>
    <sheet name="Balance Sheet" sheetId="13" r:id="rId7"/>
    <sheet name="Balance Sheet Q2 16_17" sheetId="5" state="hidden" r:id="rId8"/>
    <sheet name="Restricted Fund Status" sheetId="11" state="hidden" r:id="rId9"/>
    <sheet name="Restricted Funds Mvmt Rec" sheetId="7" state="hidden" r:id="rId10"/>
    <sheet name="Accruals (2)" sheetId="26" state="hidden" r:id="rId11"/>
    <sheet name="Prepayments (2)" sheetId="25" state="hidden" r:id="rId12"/>
    <sheet name="Furlough" sheetId="23" state="hidden" r:id="rId13"/>
    <sheet name="Business Plan 17_18" sheetId="6" state="hidden" r:id="rId14"/>
    <sheet name="Business Plan 17_18 Revised" sheetId="14" state="hidden" r:id="rId15"/>
    <sheet name="Prepayments" sheetId="20" state="hidden" r:id="rId16"/>
    <sheet name="Accruals" sheetId="9" state="hidden" r:id="rId17"/>
    <sheet name="Staff cost" sheetId="22" state="hidden" r:id="rId18"/>
    <sheet name="Budget" sheetId="21" state="hidden" r:id="rId19"/>
    <sheet name="Adjustments" sheetId="10" state="hidden" r:id="rId20"/>
  </sheets>
  <definedNames>
    <definedName name="_xlnm.Print_Area" localSheetId="1">'H4 20-21 summary'!$A$1:$N$91</definedName>
    <definedName name="_xlnm.Print_Titles" localSheetId="2">'Funds Analysis'!$1:$5</definedName>
    <definedName name="_xlnm.Print_Titles" localSheetId="1">'H4 20-21 summary'!$1:$3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7" l="1"/>
  <c r="N16" i="17"/>
  <c r="K10" i="17"/>
  <c r="L10" i="17" s="1"/>
  <c r="J10" i="17"/>
  <c r="J19" i="17" s="1"/>
  <c r="I19" i="17"/>
  <c r="K14" i="17"/>
  <c r="J14" i="17"/>
  <c r="K15" i="17"/>
  <c r="J15" i="17"/>
  <c r="J17" i="17"/>
  <c r="K12" i="17"/>
  <c r="L12" i="17" s="1"/>
  <c r="J12" i="17"/>
  <c r="K9" i="17"/>
  <c r="J9" i="17"/>
  <c r="K8" i="17"/>
  <c r="J8" i="17"/>
  <c r="L11" i="17"/>
  <c r="L13" i="17"/>
  <c r="L16" i="17"/>
  <c r="L7" i="17"/>
  <c r="K19" i="17" l="1"/>
  <c r="L14" i="17"/>
  <c r="L15" i="17"/>
  <c r="L17" i="17"/>
  <c r="L19" i="17" s="1"/>
  <c r="L8" i="17"/>
  <c r="D30" i="2" l="1"/>
  <c r="B31" i="2"/>
  <c r="B36" i="2"/>
  <c r="B27" i="2"/>
  <c r="H27" i="2" s="1"/>
  <c r="S88" i="3"/>
  <c r="S67" i="3"/>
  <c r="B25" i="2"/>
  <c r="H25" i="2" s="1"/>
  <c r="AB104" i="3"/>
  <c r="C38" i="2"/>
  <c r="C36" i="2"/>
  <c r="C30" i="2"/>
  <c r="H24" i="2"/>
  <c r="H26" i="2"/>
  <c r="H28" i="2"/>
  <c r="H29" i="2"/>
  <c r="H30" i="2"/>
  <c r="H36" i="2" s="1"/>
  <c r="H38" i="2" s="1"/>
  <c r="H31" i="2"/>
  <c r="H32" i="2"/>
  <c r="H33" i="2"/>
  <c r="H23" i="2"/>
  <c r="F38" i="2"/>
  <c r="G36" i="2"/>
  <c r="G38" i="2" s="1"/>
  <c r="F36" i="2"/>
  <c r="G27" i="2"/>
  <c r="G30" i="2"/>
  <c r="C18" i="2"/>
  <c r="D18" i="2"/>
  <c r="E18" i="2"/>
  <c r="F18" i="2"/>
  <c r="G18" i="2"/>
  <c r="H18" i="2"/>
  <c r="H12" i="2"/>
  <c r="H13" i="2"/>
  <c r="H14" i="2"/>
  <c r="H15" i="2"/>
  <c r="H11" i="2"/>
  <c r="G13" i="2"/>
  <c r="C15" i="2"/>
  <c r="C14" i="2"/>
  <c r="S20" i="3"/>
  <c r="D15" i="2"/>
  <c r="B55" i="13" l="1"/>
  <c r="B54" i="13"/>
  <c r="B46" i="13"/>
  <c r="B45" i="13"/>
  <c r="B42" i="13"/>
  <c r="B35" i="13"/>
  <c r="B27" i="13"/>
  <c r="B23" i="13"/>
  <c r="B22" i="13"/>
  <c r="B21" i="13"/>
  <c r="B20" i="13"/>
  <c r="B15" i="13"/>
  <c r="B14" i="13"/>
  <c r="B13" i="13"/>
  <c r="B12" i="13"/>
  <c r="B11" i="13"/>
  <c r="B10" i="13"/>
  <c r="B9" i="13"/>
  <c r="B8" i="13"/>
  <c r="B16" i="13" s="1"/>
  <c r="B17" i="13" s="1"/>
  <c r="M38" i="3" l="1"/>
  <c r="K111" i="3"/>
  <c r="J88" i="3"/>
  <c r="S96" i="3"/>
  <c r="M30" i="3"/>
  <c r="W43" i="3"/>
  <c r="S43" i="3"/>
  <c r="S13" i="3"/>
  <c r="C11" i="3"/>
  <c r="H29" i="3"/>
  <c r="O26" i="3"/>
  <c r="P26" i="3" s="1"/>
  <c r="AB26" i="3"/>
  <c r="AC26" i="3"/>
  <c r="P10" i="3"/>
  <c r="O10" i="3"/>
  <c r="E11" i="3"/>
  <c r="D25" i="17"/>
  <c r="D8" i="17"/>
  <c r="B36" i="7"/>
  <c r="B47" i="13"/>
  <c r="S58" i="3"/>
  <c r="M107" i="3"/>
  <c r="AB106" i="3"/>
  <c r="AC106" i="3" s="1"/>
  <c r="AB105" i="3"/>
  <c r="AC105" i="3" s="1"/>
  <c r="X104" i="3"/>
  <c r="AB99" i="3"/>
  <c r="AB79" i="3"/>
  <c r="AC79" i="3" s="1"/>
  <c r="O79" i="3"/>
  <c r="P79" i="3" s="1"/>
  <c r="G17" i="3"/>
  <c r="D19" i="17"/>
  <c r="AE79" i="3" l="1"/>
  <c r="S70" i="3"/>
  <c r="D36" i="7"/>
  <c r="D28" i="7"/>
  <c r="D31" i="7"/>
  <c r="AE123" i="3"/>
  <c r="T122" i="3"/>
  <c r="B31" i="13"/>
  <c r="B30" i="13"/>
  <c r="B28" i="13"/>
  <c r="B24" i="13"/>
  <c r="B25" i="13" s="1"/>
  <c r="AB102" i="3"/>
  <c r="AC102" i="3" s="1"/>
  <c r="AB103" i="3"/>
  <c r="AC103" i="3" s="1"/>
  <c r="U58" i="3"/>
  <c r="B15" i="2"/>
  <c r="S17" i="3"/>
  <c r="Z27" i="3"/>
  <c r="Q107" i="3"/>
  <c r="R27" i="3"/>
  <c r="S27" i="3"/>
  <c r="T27" i="3"/>
  <c r="U27" i="3"/>
  <c r="V27" i="3"/>
  <c r="W27" i="3"/>
  <c r="X27" i="3"/>
  <c r="Y27" i="3"/>
  <c r="AA27" i="3"/>
  <c r="Q27" i="3"/>
  <c r="AC25" i="3"/>
  <c r="AB25" i="3"/>
  <c r="O102" i="3"/>
  <c r="P102" i="3" s="1"/>
  <c r="AE102" i="3" s="1"/>
  <c r="P6" i="3"/>
  <c r="G11" i="3"/>
  <c r="G20" i="3"/>
  <c r="G27" i="3"/>
  <c r="G43" i="3"/>
  <c r="G50" i="3"/>
  <c r="G58" i="3"/>
  <c r="G67" i="3"/>
  <c r="G76" i="3"/>
  <c r="G88" i="3"/>
  <c r="G92" i="3"/>
  <c r="G104" i="3"/>
  <c r="G107" i="3"/>
  <c r="G110" i="3"/>
  <c r="G115" i="3"/>
  <c r="G116" i="3" s="1"/>
  <c r="K12" i="2"/>
  <c r="K18" i="2" s="1"/>
  <c r="C17" i="3"/>
  <c r="C20" i="3" s="1"/>
  <c r="C27" i="3"/>
  <c r="C43" i="3"/>
  <c r="C50" i="3"/>
  <c r="C58" i="3"/>
  <c r="C67" i="3"/>
  <c r="C76" i="3"/>
  <c r="C88" i="3"/>
  <c r="C92" i="3"/>
  <c r="C96" i="3" s="1"/>
  <c r="C104" i="3"/>
  <c r="C107" i="3"/>
  <c r="C110" i="3"/>
  <c r="C115" i="3"/>
  <c r="C116" i="3" s="1"/>
  <c r="R104" i="3"/>
  <c r="S104" i="3"/>
  <c r="T104" i="3"/>
  <c r="U104" i="3"/>
  <c r="V104" i="3"/>
  <c r="W104" i="3"/>
  <c r="Y104" i="3"/>
  <c r="Z104" i="3"/>
  <c r="AA104" i="3"/>
  <c r="AD104" i="3"/>
  <c r="Q104" i="3"/>
  <c r="O103" i="3"/>
  <c r="P103" i="3" s="1"/>
  <c r="D104" i="3"/>
  <c r="E104" i="3"/>
  <c r="F104" i="3"/>
  <c r="H104" i="3"/>
  <c r="I104" i="3"/>
  <c r="J104" i="3"/>
  <c r="K104" i="3"/>
  <c r="M104" i="3"/>
  <c r="N104" i="3"/>
  <c r="B104" i="3"/>
  <c r="O47" i="3"/>
  <c r="P47" i="3" s="1"/>
  <c r="O114" i="3"/>
  <c r="P114" i="3" s="1"/>
  <c r="O109" i="3"/>
  <c r="P109" i="3" s="1"/>
  <c r="O108" i="3"/>
  <c r="P108" i="3" s="1"/>
  <c r="O106" i="3"/>
  <c r="P106" i="3" s="1"/>
  <c r="AE106" i="3" s="1"/>
  <c r="O105" i="3"/>
  <c r="P105" i="3" s="1"/>
  <c r="AE105" i="3" s="1"/>
  <c r="O101" i="3"/>
  <c r="P101" i="3" s="1"/>
  <c r="O100" i="3"/>
  <c r="P100" i="3" s="1"/>
  <c r="O99" i="3"/>
  <c r="P99" i="3" s="1"/>
  <c r="O98" i="3"/>
  <c r="P98" i="3" s="1"/>
  <c r="O97" i="3"/>
  <c r="P97" i="3" s="1"/>
  <c r="O95" i="3"/>
  <c r="P95" i="3" s="1"/>
  <c r="O94" i="3"/>
  <c r="P94" i="3" s="1"/>
  <c r="O93" i="3"/>
  <c r="P93" i="3" s="1"/>
  <c r="O91" i="3"/>
  <c r="P91" i="3" s="1"/>
  <c r="O90" i="3"/>
  <c r="P90" i="3" s="1"/>
  <c r="O89" i="3"/>
  <c r="P89" i="3" s="1"/>
  <c r="O87" i="3"/>
  <c r="P87" i="3" s="1"/>
  <c r="O86" i="3"/>
  <c r="P86" i="3" s="1"/>
  <c r="O85" i="3"/>
  <c r="P85" i="3" s="1"/>
  <c r="O84" i="3"/>
  <c r="P84" i="3" s="1"/>
  <c r="O83" i="3"/>
  <c r="P83" i="3" s="1"/>
  <c r="O82" i="3"/>
  <c r="P82" i="3" s="1"/>
  <c r="O81" i="3"/>
  <c r="P81" i="3" s="1"/>
  <c r="O80" i="3"/>
  <c r="P80" i="3" s="1"/>
  <c r="O78" i="3"/>
  <c r="P78" i="3" s="1"/>
  <c r="O77" i="3"/>
  <c r="P77" i="3" s="1"/>
  <c r="O75" i="3"/>
  <c r="P75" i="3" s="1"/>
  <c r="O74" i="3"/>
  <c r="P74" i="3" s="1"/>
  <c r="O73" i="3"/>
  <c r="P73" i="3" s="1"/>
  <c r="O72" i="3"/>
  <c r="P72" i="3" s="1"/>
  <c r="O71" i="3"/>
  <c r="P71" i="3" s="1"/>
  <c r="O69" i="3"/>
  <c r="P69" i="3" s="1"/>
  <c r="O68" i="3"/>
  <c r="P68" i="3" s="1"/>
  <c r="O66" i="3"/>
  <c r="P66" i="3" s="1"/>
  <c r="O65" i="3"/>
  <c r="P65" i="3" s="1"/>
  <c r="O64" i="3"/>
  <c r="P64" i="3" s="1"/>
  <c r="O63" i="3"/>
  <c r="P63" i="3" s="1"/>
  <c r="O62" i="3"/>
  <c r="P62" i="3" s="1"/>
  <c r="O61" i="3"/>
  <c r="P61" i="3" s="1"/>
  <c r="O60" i="3"/>
  <c r="P60" i="3" s="1"/>
  <c r="O59" i="3"/>
  <c r="P59" i="3" s="1"/>
  <c r="O57" i="3"/>
  <c r="P57" i="3" s="1"/>
  <c r="O56" i="3"/>
  <c r="P56" i="3" s="1"/>
  <c r="O55" i="3"/>
  <c r="P55" i="3" s="1"/>
  <c r="O54" i="3"/>
  <c r="P54" i="3" s="1"/>
  <c r="O53" i="3"/>
  <c r="P53" i="3" s="1"/>
  <c r="O52" i="3"/>
  <c r="P52" i="3" s="1"/>
  <c r="O51" i="3"/>
  <c r="P51" i="3" s="1"/>
  <c r="O49" i="3"/>
  <c r="P49" i="3" s="1"/>
  <c r="O48" i="3"/>
  <c r="P48" i="3" s="1"/>
  <c r="O46" i="3"/>
  <c r="P46" i="3" s="1"/>
  <c r="O45" i="3"/>
  <c r="P45" i="3" s="1"/>
  <c r="O44" i="3"/>
  <c r="P44" i="3" s="1"/>
  <c r="O42" i="3"/>
  <c r="P42" i="3" s="1"/>
  <c r="O41" i="3"/>
  <c r="P41" i="3" s="1"/>
  <c r="O40" i="3"/>
  <c r="P40" i="3" s="1"/>
  <c r="O39" i="3"/>
  <c r="P39" i="3" s="1"/>
  <c r="O38" i="3"/>
  <c r="P38" i="3" s="1"/>
  <c r="O37" i="3"/>
  <c r="P37" i="3" s="1"/>
  <c r="O36" i="3"/>
  <c r="P36" i="3" s="1"/>
  <c r="O35" i="3"/>
  <c r="P35" i="3" s="1"/>
  <c r="O34" i="3"/>
  <c r="P34" i="3" s="1"/>
  <c r="O31" i="3"/>
  <c r="P31" i="3" s="1"/>
  <c r="O30" i="3"/>
  <c r="P30" i="3" s="1"/>
  <c r="O29" i="3"/>
  <c r="P29" i="3" s="1"/>
  <c r="O28" i="3"/>
  <c r="P28" i="3" s="1"/>
  <c r="O8" i="3"/>
  <c r="P8" i="3" s="1"/>
  <c r="O7" i="3"/>
  <c r="P7" i="3" s="1"/>
  <c r="O16" i="3"/>
  <c r="P16" i="3" s="1"/>
  <c r="O15" i="3"/>
  <c r="P15" i="3" s="1"/>
  <c r="O14" i="3"/>
  <c r="P14" i="3" s="1"/>
  <c r="O13" i="3"/>
  <c r="P13" i="3" s="1"/>
  <c r="O12" i="3"/>
  <c r="P12" i="3" s="1"/>
  <c r="O18" i="3"/>
  <c r="P18" i="3" s="1"/>
  <c r="O19" i="3"/>
  <c r="P19" i="3" s="1"/>
  <c r="O22" i="3"/>
  <c r="P22" i="3" s="1"/>
  <c r="O23" i="3"/>
  <c r="P23" i="3" s="1"/>
  <c r="O24" i="3"/>
  <c r="P24" i="3" s="1"/>
  <c r="O25" i="3"/>
  <c r="P25" i="3" s="1"/>
  <c r="O21" i="3"/>
  <c r="P21" i="3" s="1"/>
  <c r="D27" i="3"/>
  <c r="E27" i="3"/>
  <c r="F27" i="3"/>
  <c r="H27" i="3"/>
  <c r="I27" i="3"/>
  <c r="J27" i="3"/>
  <c r="K27" i="3"/>
  <c r="L27" i="3"/>
  <c r="M27" i="3"/>
  <c r="N27" i="3"/>
  <c r="B27" i="3"/>
  <c r="D30" i="17"/>
  <c r="D29" i="17"/>
  <c r="D28" i="17"/>
  <c r="C16" i="17"/>
  <c r="B16" i="17"/>
  <c r="M11" i="3"/>
  <c r="D35" i="7"/>
  <c r="D37" i="7"/>
  <c r="D34" i="7"/>
  <c r="M18" i="2"/>
  <c r="M36" i="2"/>
  <c r="E15" i="2"/>
  <c r="I107" i="3"/>
  <c r="F115" i="3"/>
  <c r="H115" i="3"/>
  <c r="I115" i="3"/>
  <c r="J115" i="3"/>
  <c r="F116" i="3"/>
  <c r="H116" i="3"/>
  <c r="I116" i="3"/>
  <c r="J116" i="3"/>
  <c r="F110" i="3"/>
  <c r="H110" i="3"/>
  <c r="I110" i="3"/>
  <c r="J110" i="3"/>
  <c r="F107" i="3"/>
  <c r="H107" i="3"/>
  <c r="J107" i="3"/>
  <c r="F92" i="3"/>
  <c r="F96" i="3" s="1"/>
  <c r="H92" i="3"/>
  <c r="H96" i="3" s="1"/>
  <c r="I92" i="3"/>
  <c r="I96" i="3" s="1"/>
  <c r="J92" i="3"/>
  <c r="J96" i="3" s="1"/>
  <c r="F88" i="3"/>
  <c r="H88" i="3"/>
  <c r="I88" i="3"/>
  <c r="F76" i="3"/>
  <c r="H76" i="3"/>
  <c r="I76" i="3"/>
  <c r="F67" i="3"/>
  <c r="H67" i="3"/>
  <c r="I67" i="3"/>
  <c r="J67" i="3"/>
  <c r="F58" i="3"/>
  <c r="F70" i="3" s="1"/>
  <c r="H58" i="3"/>
  <c r="H70" i="3" s="1"/>
  <c r="I58" i="3"/>
  <c r="I70" i="3" s="1"/>
  <c r="J58" i="3"/>
  <c r="F50" i="3"/>
  <c r="H50" i="3"/>
  <c r="I50" i="3"/>
  <c r="J50" i="3"/>
  <c r="F43" i="3"/>
  <c r="H43" i="3"/>
  <c r="I43" i="3"/>
  <c r="D17" i="3"/>
  <c r="E17" i="3"/>
  <c r="E20" i="3" s="1"/>
  <c r="F17" i="3"/>
  <c r="F20" i="3" s="1"/>
  <c r="H17" i="3"/>
  <c r="H20" i="3" s="1"/>
  <c r="I17" i="3"/>
  <c r="I20" i="3" s="1"/>
  <c r="J17" i="3"/>
  <c r="K17" i="3"/>
  <c r="L17" i="3"/>
  <c r="M17" i="3"/>
  <c r="N17" i="3"/>
  <c r="F11" i="3"/>
  <c r="H11" i="3"/>
  <c r="I11" i="3"/>
  <c r="AA107" i="3"/>
  <c r="Z107" i="3"/>
  <c r="Y107" i="3"/>
  <c r="X107" i="3"/>
  <c r="W107" i="3"/>
  <c r="V107" i="3"/>
  <c r="U107" i="3"/>
  <c r="T107" i="3"/>
  <c r="S107" i="3"/>
  <c r="R107" i="3"/>
  <c r="D107" i="3"/>
  <c r="E107" i="3"/>
  <c r="K107" i="3"/>
  <c r="L107" i="3"/>
  <c r="N107" i="3"/>
  <c r="B107" i="3"/>
  <c r="AB64" i="3"/>
  <c r="AC64" i="3" s="1"/>
  <c r="R67" i="3"/>
  <c r="T67" i="3"/>
  <c r="U67" i="3"/>
  <c r="V67" i="3"/>
  <c r="W67" i="3"/>
  <c r="X67" i="3"/>
  <c r="Y67" i="3"/>
  <c r="Z67" i="3"/>
  <c r="AA67" i="3"/>
  <c r="Q67" i="3"/>
  <c r="D67" i="3"/>
  <c r="E67" i="3"/>
  <c r="K67" i="3"/>
  <c r="L67" i="3"/>
  <c r="M67" i="3"/>
  <c r="N67" i="3"/>
  <c r="B67" i="3"/>
  <c r="E43" i="3"/>
  <c r="E50" i="3"/>
  <c r="E58" i="3"/>
  <c r="E76" i="3"/>
  <c r="E88" i="3"/>
  <c r="E92" i="3"/>
  <c r="E96" i="3" s="1"/>
  <c r="E110" i="3"/>
  <c r="E115" i="3"/>
  <c r="E116" i="3" s="1"/>
  <c r="G96" i="3" l="1"/>
  <c r="B28" i="2"/>
  <c r="AB107" i="3"/>
  <c r="AC107" i="3" s="1"/>
  <c r="B30" i="2"/>
  <c r="C70" i="3"/>
  <c r="AB27" i="3"/>
  <c r="AE103" i="3"/>
  <c r="K30" i="2"/>
  <c r="K36" i="2" s="1"/>
  <c r="K38" i="2" s="1"/>
  <c r="B29" i="13"/>
  <c r="B32" i="13" s="1"/>
  <c r="L104" i="3"/>
  <c r="O104" i="3" s="1"/>
  <c r="G70" i="3"/>
  <c r="G111" i="3" s="1"/>
  <c r="G32" i="3"/>
  <c r="G33" i="3" s="1"/>
  <c r="C111" i="3"/>
  <c r="F32" i="3"/>
  <c r="F33" i="3" s="1"/>
  <c r="O107" i="3"/>
  <c r="C32" i="3"/>
  <c r="O9" i="3"/>
  <c r="P9" i="3" s="1"/>
  <c r="O67" i="3"/>
  <c r="P67" i="3" s="1"/>
  <c r="O17" i="3"/>
  <c r="O27" i="3"/>
  <c r="P27" i="3" s="1"/>
  <c r="H111" i="3"/>
  <c r="F111" i="3"/>
  <c r="I32" i="3"/>
  <c r="I33" i="3" s="1"/>
  <c r="I111" i="3"/>
  <c r="M38" i="2"/>
  <c r="H32" i="3"/>
  <c r="H33" i="3" s="1"/>
  <c r="AE64" i="3"/>
  <c r="AB67" i="3"/>
  <c r="AC67" i="3" s="1"/>
  <c r="E70" i="3"/>
  <c r="E32" i="3"/>
  <c r="E33" i="3" s="1"/>
  <c r="D27" i="17"/>
  <c r="D30" i="7"/>
  <c r="D33" i="7"/>
  <c r="J76" i="3"/>
  <c r="E14" i="2"/>
  <c r="P107" i="3" l="1"/>
  <c r="F112" i="3"/>
  <c r="F117" i="3" s="1"/>
  <c r="G112" i="3"/>
  <c r="G117" i="3" s="1"/>
  <c r="P104" i="3"/>
  <c r="E111" i="3"/>
  <c r="E112" i="3" s="1"/>
  <c r="E117" i="3" s="1"/>
  <c r="C33" i="3"/>
  <c r="H112" i="3"/>
  <c r="H117" i="3" s="1"/>
  <c r="I112" i="3"/>
  <c r="I117" i="3" s="1"/>
  <c r="L110" i="3"/>
  <c r="L115" i="3"/>
  <c r="L116" i="3" s="1"/>
  <c r="L92" i="3"/>
  <c r="L96" i="3" s="1"/>
  <c r="L88" i="3"/>
  <c r="M88" i="3"/>
  <c r="L76" i="3"/>
  <c r="L58" i="3"/>
  <c r="L70" i="3" s="1"/>
  <c r="L50" i="3"/>
  <c r="L43" i="3"/>
  <c r="L111" i="3" s="1"/>
  <c r="AB29" i="3"/>
  <c r="X17" i="3"/>
  <c r="AC14" i="3"/>
  <c r="L20" i="3"/>
  <c r="L11" i="3"/>
  <c r="I11" i="23"/>
  <c r="I12" i="23"/>
  <c r="I13" i="23"/>
  <c r="I14" i="23"/>
  <c r="AB93" i="3"/>
  <c r="AC93" i="3" s="1"/>
  <c r="C13" i="7"/>
  <c r="B26" i="17"/>
  <c r="D26" i="17" s="1"/>
  <c r="C10" i="17"/>
  <c r="B38" i="13"/>
  <c r="D24" i="17"/>
  <c r="D32" i="7"/>
  <c r="C112" i="3" l="1"/>
  <c r="L32" i="3"/>
  <c r="L33" i="3" s="1"/>
  <c r="AE93" i="3"/>
  <c r="D14" i="25"/>
  <c r="C117" i="3" l="1"/>
  <c r="L112" i="3"/>
  <c r="C12" i="26"/>
  <c r="D7" i="25"/>
  <c r="D3" i="25"/>
  <c r="D6" i="25"/>
  <c r="D5" i="25"/>
  <c r="D8" i="25"/>
  <c r="D4" i="25"/>
  <c r="L117" i="3" l="1"/>
  <c r="D29" i="7"/>
  <c r="J14" i="2"/>
  <c r="AB66" i="3"/>
  <c r="AC66" i="3" s="1"/>
  <c r="AE66" i="3" s="1"/>
  <c r="I10" i="23"/>
  <c r="I9" i="23"/>
  <c r="I7" i="23" l="1"/>
  <c r="I2" i="23"/>
  <c r="I3" i="23"/>
  <c r="I4" i="23"/>
  <c r="I5" i="23"/>
  <c r="I6" i="23"/>
  <c r="B88" i="3"/>
  <c r="B39" i="13" l="1"/>
  <c r="R115" i="3" l="1"/>
  <c r="R116" i="3" s="1"/>
  <c r="R110" i="3"/>
  <c r="R92" i="3"/>
  <c r="R96" i="3" s="1"/>
  <c r="R88" i="3"/>
  <c r="R76" i="3"/>
  <c r="R58" i="3"/>
  <c r="R50" i="3"/>
  <c r="R43" i="3"/>
  <c r="R17" i="3"/>
  <c r="R20" i="3" s="1"/>
  <c r="R11" i="3"/>
  <c r="R70" i="3" l="1"/>
  <c r="R111" i="3" s="1"/>
  <c r="R32" i="3"/>
  <c r="R33" i="3" s="1"/>
  <c r="R112" i="3" l="1"/>
  <c r="R117" i="3" s="1"/>
  <c r="AA17" i="3"/>
  <c r="S92" i="3" l="1"/>
  <c r="B92" i="3"/>
  <c r="B96" i="3" s="1"/>
  <c r="D92" i="3"/>
  <c r="D96" i="3" s="1"/>
  <c r="K92" i="3"/>
  <c r="K96" i="3" s="1"/>
  <c r="M92" i="3"/>
  <c r="M96" i="3" s="1"/>
  <c r="N92" i="3"/>
  <c r="N96" i="3" s="1"/>
  <c r="AD92" i="3"/>
  <c r="AB90" i="3"/>
  <c r="AC90" i="3" s="1"/>
  <c r="T92" i="3"/>
  <c r="T96" i="3" s="1"/>
  <c r="U92" i="3"/>
  <c r="U96" i="3" s="1"/>
  <c r="V92" i="3"/>
  <c r="V96" i="3" s="1"/>
  <c r="W92" i="3"/>
  <c r="W96" i="3" s="1"/>
  <c r="X92" i="3"/>
  <c r="X96" i="3" s="1"/>
  <c r="Y92" i="3"/>
  <c r="Y96" i="3" s="1"/>
  <c r="Z92" i="3"/>
  <c r="Z96" i="3" s="1"/>
  <c r="AA92" i="3"/>
  <c r="AA96" i="3" s="1"/>
  <c r="Q92" i="3"/>
  <c r="Q96" i="3" s="1"/>
  <c r="AB96" i="3" l="1"/>
  <c r="AC96" i="3" s="1"/>
  <c r="D27" i="2"/>
  <c r="O92" i="3"/>
  <c r="AE90" i="3"/>
  <c r="P92" i="3" l="1"/>
  <c r="J27" i="2"/>
  <c r="J6" i="21"/>
  <c r="J7" i="21"/>
  <c r="I32" i="21" l="1"/>
  <c r="C30" i="21"/>
  <c r="D30" i="21"/>
  <c r="E30" i="21"/>
  <c r="F30" i="21"/>
  <c r="G30" i="21"/>
  <c r="H30" i="21"/>
  <c r="B30" i="21"/>
  <c r="L24" i="22"/>
  <c r="K17" i="22"/>
  <c r="F16" i="22"/>
  <c r="H16" i="22" s="1"/>
  <c r="H15" i="22"/>
  <c r="F15" i="22"/>
  <c r="H14" i="22"/>
  <c r="I14" i="22" s="1"/>
  <c r="J14" i="22" s="1"/>
  <c r="L14" i="22" s="1"/>
  <c r="H13" i="22"/>
  <c r="F13" i="22"/>
  <c r="I13" i="22" s="1"/>
  <c r="F12" i="22"/>
  <c r="K10" i="22"/>
  <c r="K19" i="22" s="1"/>
  <c r="F9" i="22"/>
  <c r="H9" i="22" s="1"/>
  <c r="H8" i="22"/>
  <c r="F8" i="22"/>
  <c r="H7" i="22"/>
  <c r="F7" i="22"/>
  <c r="H6" i="22"/>
  <c r="F6" i="22"/>
  <c r="C13" i="21"/>
  <c r="D13" i="21"/>
  <c r="E13" i="21"/>
  <c r="F13" i="21"/>
  <c r="G13" i="21"/>
  <c r="H13" i="21"/>
  <c r="B13" i="21"/>
  <c r="J8" i="21"/>
  <c r="J9" i="21"/>
  <c r="J10" i="21"/>
  <c r="J11" i="21"/>
  <c r="J12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1" i="21"/>
  <c r="J33" i="21"/>
  <c r="F17" i="22" l="1"/>
  <c r="J16" i="22"/>
  <c r="L16" i="22" s="1"/>
  <c r="R16" i="22" s="1"/>
  <c r="I7" i="22"/>
  <c r="J7" i="22" s="1"/>
  <c r="L7" i="22" s="1"/>
  <c r="R7" i="22" s="1"/>
  <c r="F10" i="22"/>
  <c r="J9" i="22"/>
  <c r="L9" i="22" s="1"/>
  <c r="R9" i="22" s="1"/>
  <c r="H32" i="21"/>
  <c r="D32" i="21"/>
  <c r="J13" i="21"/>
  <c r="G32" i="21"/>
  <c r="C32" i="21"/>
  <c r="F32" i="21"/>
  <c r="B32" i="21"/>
  <c r="E32" i="21"/>
  <c r="J30" i="21"/>
  <c r="J13" i="22"/>
  <c r="L13" i="22" s="1"/>
  <c r="R13" i="22" s="1"/>
  <c r="F19" i="22"/>
  <c r="H12" i="22"/>
  <c r="I8" i="22"/>
  <c r="J8" i="22" s="1"/>
  <c r="L8" i="22" s="1"/>
  <c r="R8" i="22" s="1"/>
  <c r="J12" i="22"/>
  <c r="I15" i="22"/>
  <c r="I17" i="22" s="1"/>
  <c r="I6" i="22"/>
  <c r="J15" i="22" l="1"/>
  <c r="L15" i="22" s="1"/>
  <c r="R15" i="22" s="1"/>
  <c r="J32" i="21"/>
  <c r="L12" i="22"/>
  <c r="J17" i="22"/>
  <c r="J6" i="22"/>
  <c r="I10" i="22"/>
  <c r="I19" i="22" s="1"/>
  <c r="H19" i="22" s="1"/>
  <c r="J10" i="22" l="1"/>
  <c r="J19" i="22" s="1"/>
  <c r="L6" i="22"/>
  <c r="L17" i="22"/>
  <c r="R12" i="22"/>
  <c r="L10" i="22" l="1"/>
  <c r="L19" i="22" s="1"/>
  <c r="L27" i="22" s="1"/>
  <c r="O6" i="22"/>
  <c r="P6" i="22"/>
  <c r="N6" i="22"/>
  <c r="R6" i="22"/>
  <c r="R22" i="22" s="1"/>
  <c r="B43" i="13" l="1"/>
  <c r="D25" i="2"/>
  <c r="B48" i="13" l="1"/>
  <c r="B49" i="13" s="1"/>
  <c r="AB69" i="3"/>
  <c r="AC69" i="3" l="1"/>
  <c r="AE69" i="3" s="1"/>
  <c r="B50" i="13"/>
  <c r="B51" i="13" l="1"/>
  <c r="B52" i="13" s="1"/>
  <c r="E48" i="2"/>
  <c r="E54" i="2" l="1"/>
  <c r="E49" i="2"/>
  <c r="E56" i="2"/>
  <c r="AB30" i="3"/>
  <c r="E53" i="2" l="1"/>
  <c r="E46" i="2"/>
  <c r="AB22" i="3"/>
  <c r="K11" i="3"/>
  <c r="K20" i="3"/>
  <c r="K43" i="3"/>
  <c r="K50" i="3"/>
  <c r="K58" i="3"/>
  <c r="K76" i="3"/>
  <c r="K88" i="3"/>
  <c r="K110" i="3"/>
  <c r="K115" i="3"/>
  <c r="K116" i="3" l="1"/>
  <c r="K32" i="3"/>
  <c r="K70" i="3"/>
  <c r="AC29" i="3"/>
  <c r="C13" i="17"/>
  <c r="E66" i="2"/>
  <c r="E65" i="2"/>
  <c r="AD107" i="3"/>
  <c r="AE107" i="3" s="1"/>
  <c r="AC99" i="3"/>
  <c r="AC41" i="3"/>
  <c r="AC42" i="3"/>
  <c r="AC35" i="3"/>
  <c r="AC36" i="3"/>
  <c r="AC37" i="3"/>
  <c r="AC38" i="3"/>
  <c r="AB38" i="3"/>
  <c r="S11" i="3"/>
  <c r="AC23" i="3"/>
  <c r="AE23" i="3" s="1"/>
  <c r="AB23" i="3"/>
  <c r="B12" i="2" l="1"/>
  <c r="S32" i="3"/>
  <c r="K33" i="3"/>
  <c r="K112" i="3" s="1"/>
  <c r="AE99" i="3"/>
  <c r="K117" i="3" l="1"/>
  <c r="X43" i="3"/>
  <c r="V43" i="3"/>
  <c r="AB37" i="3"/>
  <c r="AB39" i="3"/>
  <c r="AC40" i="3"/>
  <c r="AC39" i="3"/>
  <c r="Y43" i="3"/>
  <c r="AC31" i="3"/>
  <c r="AC30" i="3"/>
  <c r="AC8" i="3"/>
  <c r="AC7" i="3"/>
  <c r="AC13" i="3"/>
  <c r="AC12" i="3"/>
  <c r="AC21" i="3"/>
  <c r="AC28" i="3"/>
  <c r="AE28" i="3" s="1"/>
  <c r="AC24" i="3" l="1"/>
  <c r="AC22" i="3"/>
  <c r="AC19" i="3"/>
  <c r="AC18" i="3"/>
  <c r="AC9" i="3"/>
  <c r="AC16" i="3"/>
  <c r="AC15" i="3" l="1"/>
  <c r="C8" i="11"/>
  <c r="C8" i="9" l="1"/>
  <c r="D17" i="17" l="1"/>
  <c r="B13" i="17"/>
  <c r="B9" i="17"/>
  <c r="C25" i="7"/>
  <c r="B25" i="7"/>
  <c r="C21" i="7"/>
  <c r="B21" i="7"/>
  <c r="D20" i="7"/>
  <c r="D18" i="7"/>
  <c r="D16" i="7"/>
  <c r="C17" i="7"/>
  <c r="B17" i="7"/>
  <c r="D15" i="7"/>
  <c r="D12" i="7"/>
  <c r="D11" i="7"/>
  <c r="D10" i="7"/>
  <c r="B13" i="7"/>
  <c r="C9" i="7"/>
  <c r="B9" i="7"/>
  <c r="D8" i="7"/>
  <c r="C26" i="11"/>
  <c r="D25" i="11"/>
  <c r="D24" i="11"/>
  <c r="D23" i="11"/>
  <c r="D22" i="11"/>
  <c r="B26" i="7" l="1"/>
  <c r="B39" i="7" s="1"/>
  <c r="C26" i="7"/>
  <c r="C39" i="7" s="1"/>
  <c r="D25" i="7"/>
  <c r="D26" i="11"/>
  <c r="D9" i="7"/>
  <c r="D21" i="7"/>
  <c r="D17" i="7"/>
  <c r="D13" i="7"/>
  <c r="D26" i="7" l="1"/>
  <c r="D39" i="7" s="1"/>
  <c r="C9" i="11"/>
  <c r="B9" i="11"/>
  <c r="B17" i="11"/>
  <c r="D8" i="11"/>
  <c r="D9" i="11" l="1"/>
  <c r="B26" i="11"/>
  <c r="D18" i="11" l="1"/>
  <c r="B21" i="11"/>
  <c r="B27" i="11" s="1"/>
  <c r="C17" i="11"/>
  <c r="D17" i="11" s="1"/>
  <c r="C21" i="11"/>
  <c r="D21" i="11" s="1"/>
  <c r="D20" i="11"/>
  <c r="D14" i="11"/>
  <c r="D15" i="11"/>
  <c r="D16" i="11"/>
  <c r="D13" i="11"/>
  <c r="D12" i="11"/>
  <c r="C27" i="11" l="1"/>
  <c r="D27" i="11" s="1"/>
  <c r="S50" i="3"/>
  <c r="M43" i="3"/>
  <c r="M111" i="3" s="1"/>
  <c r="M112" i="3" s="1"/>
  <c r="O112" i="3" s="1"/>
  <c r="P112" i="3" s="1"/>
  <c r="AA88" i="3" l="1"/>
  <c r="Z88" i="3"/>
  <c r="Y88" i="3"/>
  <c r="X88" i="3"/>
  <c r="W88" i="3"/>
  <c r="V88" i="3"/>
  <c r="U88" i="3"/>
  <c r="T88" i="3"/>
  <c r="Q88" i="3"/>
  <c r="D88" i="3"/>
  <c r="N88" i="3"/>
  <c r="O88" i="3" s="1"/>
  <c r="AD88" i="3"/>
  <c r="AB86" i="3"/>
  <c r="AC86" i="3" s="1"/>
  <c r="AB87" i="3"/>
  <c r="AC87" i="3" s="1"/>
  <c r="T68" i="3"/>
  <c r="AB41" i="3"/>
  <c r="AB42" i="3"/>
  <c r="B43" i="3"/>
  <c r="D43" i="3"/>
  <c r="J43" i="3"/>
  <c r="N43" i="3"/>
  <c r="O43" i="3" s="1"/>
  <c r="P88" i="3" l="1"/>
  <c r="P43" i="3"/>
  <c r="AB88" i="3"/>
  <c r="AC88" i="3" s="1"/>
  <c r="AE87" i="3"/>
  <c r="AE86" i="3"/>
  <c r="AE41" i="3"/>
  <c r="AE42" i="3"/>
  <c r="AE88" i="3" l="1"/>
  <c r="D18" i="19"/>
  <c r="D23" i="17" l="1"/>
  <c r="D9" i="17"/>
  <c r="D21" i="17"/>
  <c r="D22" i="17"/>
  <c r="B20" i="17"/>
  <c r="B31" i="17" s="1"/>
  <c r="C20" i="17"/>
  <c r="C31" i="17" s="1"/>
  <c r="D20" i="17"/>
  <c r="D15" i="17"/>
  <c r="D16" i="17" s="1"/>
  <c r="D12" i="17"/>
  <c r="D13" i="17" s="1"/>
  <c r="D10" i="17" l="1"/>
  <c r="D31" i="17" s="1"/>
  <c r="AA115" i="3" l="1"/>
  <c r="AA116" i="3" s="1"/>
  <c r="Z115" i="3"/>
  <c r="Z116" i="3" s="1"/>
  <c r="Y115" i="3"/>
  <c r="Y116" i="3" s="1"/>
  <c r="X115" i="3"/>
  <c r="X116" i="3" s="1"/>
  <c r="W115" i="3"/>
  <c r="W116" i="3" s="1"/>
  <c r="V115" i="3"/>
  <c r="V116" i="3" s="1"/>
  <c r="U115" i="3"/>
  <c r="U116" i="3" s="1"/>
  <c r="T115" i="3"/>
  <c r="T116" i="3" s="1"/>
  <c r="S115" i="3"/>
  <c r="S116" i="3" s="1"/>
  <c r="Q115" i="3"/>
  <c r="N115" i="3"/>
  <c r="N116" i="3" s="1"/>
  <c r="M115" i="3"/>
  <c r="O115" i="3" s="1"/>
  <c r="D115" i="3"/>
  <c r="B115" i="3"/>
  <c r="AD115" i="3"/>
  <c r="AD116" i="3" s="1"/>
  <c r="AB114" i="3"/>
  <c r="AC114" i="3" s="1"/>
  <c r="B16" i="2" s="1"/>
  <c r="H16" i="2" s="1"/>
  <c r="AD110" i="3"/>
  <c r="AA110" i="3"/>
  <c r="Z110" i="3"/>
  <c r="Y110" i="3"/>
  <c r="X110" i="3"/>
  <c r="W110" i="3"/>
  <c r="V110" i="3"/>
  <c r="U110" i="3"/>
  <c r="T110" i="3"/>
  <c r="Q110" i="3"/>
  <c r="N110" i="3"/>
  <c r="M110" i="3"/>
  <c r="O110" i="3" s="1"/>
  <c r="D110" i="3"/>
  <c r="B110" i="3"/>
  <c r="AB109" i="3"/>
  <c r="S110" i="3"/>
  <c r="AB108" i="3"/>
  <c r="AC108" i="3" s="1"/>
  <c r="AB100" i="3"/>
  <c r="AB97" i="3"/>
  <c r="AB94" i="3"/>
  <c r="AC94" i="3" s="1"/>
  <c r="AD96" i="3"/>
  <c r="AB91" i="3"/>
  <c r="AC91" i="3" s="1"/>
  <c r="AB89" i="3"/>
  <c r="AC89" i="3" s="1"/>
  <c r="AB85" i="3"/>
  <c r="AB84" i="3"/>
  <c r="AB82" i="3"/>
  <c r="AB81" i="3"/>
  <c r="AB80" i="3"/>
  <c r="AB78" i="3"/>
  <c r="AC78" i="3" s="1"/>
  <c r="AB77" i="3"/>
  <c r="AC77" i="3" s="1"/>
  <c r="AD76" i="3"/>
  <c r="AA76" i="3"/>
  <c r="Z76" i="3"/>
  <c r="Y76" i="3"/>
  <c r="W76" i="3"/>
  <c r="V76" i="3"/>
  <c r="U76" i="3"/>
  <c r="T76" i="3"/>
  <c r="Q76" i="3"/>
  <c r="N76" i="3"/>
  <c r="M76" i="3"/>
  <c r="D76" i="3"/>
  <c r="B76" i="3"/>
  <c r="AB75" i="3"/>
  <c r="AC75" i="3" s="1"/>
  <c r="AB74" i="3"/>
  <c r="AC74" i="3" s="1"/>
  <c r="X76" i="3"/>
  <c r="AB73" i="3"/>
  <c r="AB72" i="3"/>
  <c r="AC72" i="3" s="1"/>
  <c r="S76" i="3"/>
  <c r="B26" i="2" s="1"/>
  <c r="AB71" i="3"/>
  <c r="AC71" i="3" s="1"/>
  <c r="AD67" i="3"/>
  <c r="J70" i="3"/>
  <c r="J111" i="3" s="1"/>
  <c r="AB65" i="3"/>
  <c r="AC65" i="3" s="1"/>
  <c r="AB63" i="3"/>
  <c r="AB62" i="3"/>
  <c r="AB61" i="3"/>
  <c r="AC61" i="3" s="1"/>
  <c r="AB60" i="3"/>
  <c r="AC60" i="3" s="1"/>
  <c r="AB59" i="3"/>
  <c r="AD58" i="3"/>
  <c r="AA58" i="3"/>
  <c r="Z58" i="3"/>
  <c r="Y58" i="3"/>
  <c r="X58" i="3"/>
  <c r="W58" i="3"/>
  <c r="V58" i="3"/>
  <c r="T58" i="3"/>
  <c r="Q58" i="3"/>
  <c r="N58" i="3"/>
  <c r="M58" i="3"/>
  <c r="D58" i="3"/>
  <c r="D70" i="3" s="1"/>
  <c r="B58" i="3"/>
  <c r="AB57" i="3"/>
  <c r="AB56" i="3"/>
  <c r="AB55" i="3"/>
  <c r="AB54" i="3"/>
  <c r="AB53" i="3"/>
  <c r="AC53" i="3" s="1"/>
  <c r="AB52" i="3"/>
  <c r="AB51" i="3"/>
  <c r="AC51" i="3" s="1"/>
  <c r="AD50" i="3"/>
  <c r="AA50" i="3"/>
  <c r="Z50" i="3"/>
  <c r="Y50" i="3"/>
  <c r="X50" i="3"/>
  <c r="W50" i="3"/>
  <c r="V50" i="3"/>
  <c r="U50" i="3"/>
  <c r="T50" i="3"/>
  <c r="Q50" i="3"/>
  <c r="N50" i="3"/>
  <c r="M50" i="3"/>
  <c r="D50" i="3"/>
  <c r="B50" i="3"/>
  <c r="AB49" i="3"/>
  <c r="AC49" i="3" s="1"/>
  <c r="AB48" i="3"/>
  <c r="AB47" i="3"/>
  <c r="AC47" i="3" s="1"/>
  <c r="AB46" i="3"/>
  <c r="AB45" i="3"/>
  <c r="AC45" i="3" s="1"/>
  <c r="AB44" i="3"/>
  <c r="AC44" i="3" s="1"/>
  <c r="AD43" i="3"/>
  <c r="AA43" i="3"/>
  <c r="Z43" i="3"/>
  <c r="U43" i="3"/>
  <c r="T43" i="3"/>
  <c r="Q43" i="3"/>
  <c r="AB40" i="3"/>
  <c r="AB36" i="3"/>
  <c r="AB35" i="3"/>
  <c r="AB31" i="3"/>
  <c r="AB28" i="3"/>
  <c r="AD27" i="3"/>
  <c r="AB24" i="3"/>
  <c r="AB21" i="3"/>
  <c r="AB19" i="3"/>
  <c r="AB18" i="3"/>
  <c r="AD17" i="3"/>
  <c r="AD20" i="3" s="1"/>
  <c r="AA20" i="3"/>
  <c r="Z17" i="3"/>
  <c r="Z20" i="3" s="1"/>
  <c r="Y17" i="3"/>
  <c r="Y20" i="3" s="1"/>
  <c r="X20" i="3"/>
  <c r="W17" i="3"/>
  <c r="V17" i="3"/>
  <c r="V20" i="3" s="1"/>
  <c r="U17" i="3"/>
  <c r="U20" i="3" s="1"/>
  <c r="T17" i="3"/>
  <c r="T20" i="3" s="1"/>
  <c r="Q17" i="3"/>
  <c r="N20" i="3"/>
  <c r="J20" i="3"/>
  <c r="D20" i="3"/>
  <c r="B17" i="3"/>
  <c r="P17" i="3" s="1"/>
  <c r="AB16" i="3"/>
  <c r="AB15" i="3"/>
  <c r="AB14" i="3"/>
  <c r="AB13" i="3"/>
  <c r="AB12" i="3"/>
  <c r="AE12" i="3"/>
  <c r="AD11" i="3"/>
  <c r="AA11" i="3"/>
  <c r="Z11" i="3"/>
  <c r="Y11" i="3"/>
  <c r="X11" i="3"/>
  <c r="V11" i="3"/>
  <c r="U11" i="3"/>
  <c r="U32" i="3" s="1"/>
  <c r="T11" i="3"/>
  <c r="Q11" i="3"/>
  <c r="N11" i="3"/>
  <c r="O11" i="3" s="1"/>
  <c r="D11" i="3"/>
  <c r="B11" i="3"/>
  <c r="AB9" i="3"/>
  <c r="W11" i="3"/>
  <c r="AB8" i="3"/>
  <c r="J11" i="3"/>
  <c r="AB7" i="3"/>
  <c r="AE7" i="3"/>
  <c r="O76" i="3" l="1"/>
  <c r="D26" i="2" s="1"/>
  <c r="P76" i="3"/>
  <c r="P110" i="3"/>
  <c r="P115" i="3"/>
  <c r="P11" i="3"/>
  <c r="O50" i="3"/>
  <c r="P50" i="3" s="1"/>
  <c r="D116" i="3"/>
  <c r="AC97" i="3"/>
  <c r="O58" i="3"/>
  <c r="P58" i="3" s="1"/>
  <c r="M116" i="3"/>
  <c r="O116" i="3" s="1"/>
  <c r="J32" i="3"/>
  <c r="S111" i="3"/>
  <c r="D111" i="3"/>
  <c r="AE14" i="3"/>
  <c r="B116" i="3"/>
  <c r="P116" i="3" s="1"/>
  <c r="AE15" i="3"/>
  <c r="J12" i="2"/>
  <c r="J18" i="2" s="1"/>
  <c r="T70" i="3"/>
  <c r="X70" i="3"/>
  <c r="X111" i="3" s="1"/>
  <c r="Q116" i="3"/>
  <c r="M70" i="3"/>
  <c r="U70" i="3"/>
  <c r="U111" i="3" s="1"/>
  <c r="Y70" i="3"/>
  <c r="B70" i="3"/>
  <c r="Q70" i="3"/>
  <c r="W70" i="3"/>
  <c r="AA70" i="3"/>
  <c r="AA111" i="3" s="1"/>
  <c r="E12" i="2"/>
  <c r="AE9" i="3"/>
  <c r="V70" i="3"/>
  <c r="V111" i="3" s="1"/>
  <c r="Z70" i="3"/>
  <c r="Z111" i="3" s="1"/>
  <c r="N32" i="3"/>
  <c r="N70" i="3"/>
  <c r="N111" i="3" s="1"/>
  <c r="D14" i="2"/>
  <c r="E23" i="2"/>
  <c r="AD70" i="3"/>
  <c r="AD111" i="3" s="1"/>
  <c r="T32" i="3"/>
  <c r="T33" i="3" s="1"/>
  <c r="U33" i="3"/>
  <c r="AC100" i="3"/>
  <c r="AE100" i="3" s="1"/>
  <c r="B32" i="2"/>
  <c r="E28" i="2"/>
  <c r="E27" i="2" s="1"/>
  <c r="AE45" i="3"/>
  <c r="S33" i="3"/>
  <c r="AE60" i="3"/>
  <c r="AE94" i="3"/>
  <c r="AE53" i="3"/>
  <c r="AE13" i="3"/>
  <c r="AE8" i="3"/>
  <c r="AE19" i="3"/>
  <c r="AE49" i="3"/>
  <c r="AB50" i="3"/>
  <c r="AC50" i="3" s="1"/>
  <c r="AC54" i="3"/>
  <c r="AE54" i="3" s="1"/>
  <c r="AB83" i="3"/>
  <c r="AC83" i="3" s="1"/>
  <c r="AE83" i="3" s="1"/>
  <c r="AE89" i="3"/>
  <c r="AB95" i="3"/>
  <c r="AC95" i="3" s="1"/>
  <c r="AE21" i="3"/>
  <c r="AE29" i="3"/>
  <c r="AE51" i="3"/>
  <c r="AE61" i="3"/>
  <c r="AE72" i="3"/>
  <c r="AC109" i="3"/>
  <c r="AE109" i="3" s="1"/>
  <c r="D32" i="3"/>
  <c r="D33" i="3" s="1"/>
  <c r="V32" i="3"/>
  <c r="Z32" i="3"/>
  <c r="Z33" i="3" s="1"/>
  <c r="AE36" i="3"/>
  <c r="AE38" i="3"/>
  <c r="AC56" i="3"/>
  <c r="AE56" i="3" s="1"/>
  <c r="AC62" i="3"/>
  <c r="AE62" i="3" s="1"/>
  <c r="AE65" i="3"/>
  <c r="AC81" i="3"/>
  <c r="AE81" i="3" s="1"/>
  <c r="AC82" i="3"/>
  <c r="AB98" i="3"/>
  <c r="AB92" i="3"/>
  <c r="AA32" i="3"/>
  <c r="AA33" i="3" s="1"/>
  <c r="AE31" i="3"/>
  <c r="B13" i="2" s="1"/>
  <c r="AE44" i="3"/>
  <c r="AC57" i="3"/>
  <c r="AE57" i="3" s="1"/>
  <c r="AC80" i="3"/>
  <c r="AE80" i="3" s="1"/>
  <c r="AC84" i="3"/>
  <c r="AE84" i="3" s="1"/>
  <c r="AB110" i="3"/>
  <c r="AC110" i="3" s="1"/>
  <c r="AB76" i="3"/>
  <c r="AC76" i="3" s="1"/>
  <c r="X32" i="3"/>
  <c r="X33" i="3" s="1"/>
  <c r="AE18" i="3"/>
  <c r="AE24" i="3"/>
  <c r="AE40" i="3"/>
  <c r="AB58" i="3"/>
  <c r="AC58" i="3" s="1"/>
  <c r="AC59" i="3"/>
  <c r="AE59" i="3" s="1"/>
  <c r="AE71" i="3"/>
  <c r="AE77" i="3"/>
  <c r="AE114" i="3"/>
  <c r="W20" i="3"/>
  <c r="AB20" i="3" s="1"/>
  <c r="AB17" i="3"/>
  <c r="AC17" i="3" s="1"/>
  <c r="AE17" i="3" s="1"/>
  <c r="AE91" i="3"/>
  <c r="AB11" i="3"/>
  <c r="AC11" i="3" s="1"/>
  <c r="B20" i="3"/>
  <c r="M20" i="3"/>
  <c r="O20" i="3" s="1"/>
  <c r="AE30" i="3"/>
  <c r="AE47" i="3"/>
  <c r="AE75" i="3"/>
  <c r="Y32" i="3"/>
  <c r="Y33" i="3" s="1"/>
  <c r="AE35" i="3"/>
  <c r="AE39" i="3"/>
  <c r="AC48" i="3"/>
  <c r="AE48" i="3" s="1"/>
  <c r="AC52" i="3"/>
  <c r="AE52" i="3" s="1"/>
  <c r="AB115" i="3"/>
  <c r="AC115" i="3" s="1"/>
  <c r="AC55" i="3"/>
  <c r="AE55" i="3" s="1"/>
  <c r="AE74" i="3"/>
  <c r="AD32" i="3"/>
  <c r="AD33" i="3" s="1"/>
  <c r="AE16" i="3"/>
  <c r="Q20" i="3"/>
  <c r="AE37" i="3"/>
  <c r="AB43" i="3"/>
  <c r="E26" i="2"/>
  <c r="AB101" i="3"/>
  <c r="AC101" i="3" s="1"/>
  <c r="AE101" i="3" s="1"/>
  <c r="AB116" i="3"/>
  <c r="AE22" i="3"/>
  <c r="AC63" i="3"/>
  <c r="AE63" i="3" s="1"/>
  <c r="AB68" i="3"/>
  <c r="AC68" i="3" s="1"/>
  <c r="AC73" i="3"/>
  <c r="AE73" i="3" s="1"/>
  <c r="AC46" i="3"/>
  <c r="AE46" i="3" s="1"/>
  <c r="AE78" i="3"/>
  <c r="AC85" i="3"/>
  <c r="O96" i="3"/>
  <c r="P96" i="3" s="1"/>
  <c r="AE96" i="3" s="1"/>
  <c r="AE108" i="3"/>
  <c r="AC20" i="3" l="1"/>
  <c r="AE58" i="3"/>
  <c r="B24" i="2" s="1"/>
  <c r="D29" i="2"/>
  <c r="AC92" i="3"/>
  <c r="AE92" i="3" s="1"/>
  <c r="D28" i="2"/>
  <c r="P20" i="3"/>
  <c r="D12" i="2"/>
  <c r="J33" i="3"/>
  <c r="D23" i="2"/>
  <c r="O70" i="3"/>
  <c r="P70" i="3" s="1"/>
  <c r="Q111" i="3"/>
  <c r="M32" i="3"/>
  <c r="B111" i="3"/>
  <c r="B32" i="3"/>
  <c r="B33" i="3" s="1"/>
  <c r="AE68" i="3"/>
  <c r="O111" i="3"/>
  <c r="P111" i="3" s="1"/>
  <c r="Y111" i="3"/>
  <c r="Y112" i="3" s="1"/>
  <c r="Y117" i="3" s="1"/>
  <c r="W111" i="3"/>
  <c r="J36" i="2"/>
  <c r="J38" i="2" s="1"/>
  <c r="AC43" i="3"/>
  <c r="AE43" i="3" s="1"/>
  <c r="AC27" i="3"/>
  <c r="AE27" i="3" s="1"/>
  <c r="N33" i="3"/>
  <c r="N112" i="3" s="1"/>
  <c r="N117" i="3" s="1"/>
  <c r="V33" i="3"/>
  <c r="V112" i="3" s="1"/>
  <c r="V117" i="3" s="1"/>
  <c r="AE11" i="3"/>
  <c r="AC116" i="3"/>
  <c r="S112" i="3"/>
  <c r="AE67" i="3"/>
  <c r="AC98" i="3"/>
  <c r="AE98" i="3" s="1"/>
  <c r="W32" i="3"/>
  <c r="AE97" i="3"/>
  <c r="AD112" i="3"/>
  <c r="AD117" i="3" s="1"/>
  <c r="AE50" i="3"/>
  <c r="AE110" i="3"/>
  <c r="Z112" i="3"/>
  <c r="Z117" i="3" s="1"/>
  <c r="AE76" i="3"/>
  <c r="AE82" i="3"/>
  <c r="AE85" i="3"/>
  <c r="AB70" i="3"/>
  <c r="AC70" i="3" s="1"/>
  <c r="AE95" i="3"/>
  <c r="X112" i="3"/>
  <c r="X117" i="3" s="1"/>
  <c r="AA112" i="3"/>
  <c r="AA117" i="3" s="1"/>
  <c r="AE115" i="3"/>
  <c r="T111" i="3"/>
  <c r="D112" i="3"/>
  <c r="D117" i="3" s="1"/>
  <c r="U112" i="3"/>
  <c r="U117" i="3" s="1"/>
  <c r="Q32" i="3"/>
  <c r="D6" i="19"/>
  <c r="D7" i="19"/>
  <c r="C8" i="19"/>
  <c r="C9" i="19" s="1"/>
  <c r="B9" i="19"/>
  <c r="D10" i="19"/>
  <c r="D11" i="19"/>
  <c r="C13" i="19"/>
  <c r="D12" i="19"/>
  <c r="B13" i="19"/>
  <c r="D14" i="19"/>
  <c r="C16" i="19"/>
  <c r="D15" i="19"/>
  <c r="B16" i="19"/>
  <c r="D17" i="19"/>
  <c r="C19" i="19"/>
  <c r="D20" i="19"/>
  <c r="B23" i="2" l="1"/>
  <c r="N23" i="2" s="1"/>
  <c r="AE20" i="3"/>
  <c r="B11" i="2" s="1"/>
  <c r="N11" i="2" s="1"/>
  <c r="AE104" i="3"/>
  <c r="O32" i="3"/>
  <c r="P32" i="3" s="1"/>
  <c r="AC104" i="3"/>
  <c r="J112" i="3"/>
  <c r="B112" i="3"/>
  <c r="B117" i="3" s="1"/>
  <c r="AE116" i="3"/>
  <c r="AE70" i="3"/>
  <c r="AB32" i="3"/>
  <c r="AC32" i="3" s="1"/>
  <c r="M33" i="3"/>
  <c r="D13" i="19"/>
  <c r="D8" i="19"/>
  <c r="AB111" i="3"/>
  <c r="T112" i="3"/>
  <c r="T117" i="3" s="1"/>
  <c r="S117" i="3"/>
  <c r="W33" i="3"/>
  <c r="Q33" i="3"/>
  <c r="D16" i="19"/>
  <c r="C21" i="19"/>
  <c r="C22" i="19" s="1"/>
  <c r="D9" i="19"/>
  <c r="B19" i="19"/>
  <c r="B21" i="19" s="1"/>
  <c r="O33" i="3" l="1"/>
  <c r="P33" i="3" s="1"/>
  <c r="B40" i="7"/>
  <c r="B41" i="7" s="1"/>
  <c r="AE32" i="3"/>
  <c r="J117" i="3"/>
  <c r="AC111" i="3"/>
  <c r="AE111" i="3" s="1"/>
  <c r="C40" i="7"/>
  <c r="W112" i="3"/>
  <c r="AB33" i="3"/>
  <c r="Q112" i="3"/>
  <c r="D19" i="19"/>
  <c r="M117" i="3" l="1"/>
  <c r="O117" i="3" s="1"/>
  <c r="P117" i="3" s="1"/>
  <c r="C41" i="7"/>
  <c r="D41" i="7" s="1"/>
  <c r="D40" i="7"/>
  <c r="AC33" i="3"/>
  <c r="AE33" i="3" s="1"/>
  <c r="Q117" i="3"/>
  <c r="W117" i="3"/>
  <c r="AB117" i="3" s="1"/>
  <c r="AB112" i="3"/>
  <c r="AC112" i="3" s="1"/>
  <c r="D21" i="19"/>
  <c r="B22" i="19"/>
  <c r="D22" i="19" s="1"/>
  <c r="AC117" i="3" l="1"/>
  <c r="AE117" i="3" s="1"/>
  <c r="AE112" i="3"/>
  <c r="B56" i="13" l="1"/>
  <c r="F8" i="17" l="1"/>
  <c r="N32" i="2" l="1"/>
  <c r="N13" i="2"/>
  <c r="B14" i="2"/>
  <c r="B18" i="2" s="1"/>
  <c r="N16" i="2"/>
  <c r="E22" i="2"/>
  <c r="E36" i="2" s="1"/>
  <c r="H22" i="2"/>
  <c r="N22" i="2" s="1"/>
  <c r="N33" i="2"/>
  <c r="E55" i="2"/>
  <c r="E38" i="2" l="1"/>
  <c r="B38" i="2"/>
  <c r="E51" i="2"/>
  <c r="N27" i="2"/>
  <c r="E68" i="2"/>
  <c r="E58" i="2"/>
  <c r="D36" i="2"/>
  <c r="N25" i="2"/>
  <c r="N29" i="2"/>
  <c r="N28" i="2"/>
  <c r="N30" i="2"/>
  <c r="N24" i="2"/>
  <c r="D38" i="2" l="1"/>
  <c r="N14" i="2"/>
  <c r="E61" i="2"/>
  <c r="N15" i="2"/>
  <c r="N31" i="2"/>
  <c r="N26" i="2"/>
  <c r="N12" i="2"/>
  <c r="W29" i="14"/>
  <c r="W28" i="14"/>
  <c r="W27" i="14"/>
  <c r="W26" i="14"/>
  <c r="W25" i="14"/>
  <c r="W24" i="14"/>
  <c r="W23" i="14"/>
  <c r="W22" i="14"/>
  <c r="W21" i="14"/>
  <c r="W17" i="14"/>
  <c r="W16" i="14"/>
  <c r="W15" i="14"/>
  <c r="W14" i="14"/>
  <c r="W13" i="14"/>
  <c r="W12" i="14"/>
  <c r="W11" i="14"/>
  <c r="W8" i="14"/>
  <c r="W7" i="14"/>
  <c r="AC18" i="14"/>
  <c r="N36" i="2" l="1"/>
  <c r="AA18" i="14" l="1"/>
  <c r="L7" i="14"/>
  <c r="I32" i="14"/>
  <c r="H32" i="14"/>
  <c r="G32" i="14"/>
  <c r="E32" i="14"/>
  <c r="D32" i="14"/>
  <c r="M30" i="14"/>
  <c r="L30" i="14"/>
  <c r="K30" i="14"/>
  <c r="Q28" i="14"/>
  <c r="P28" i="14"/>
  <c r="K28" i="14"/>
  <c r="Q27" i="14"/>
  <c r="P27" i="14"/>
  <c r="M26" i="14"/>
  <c r="L26" i="14"/>
  <c r="K26" i="14"/>
  <c r="M25" i="14"/>
  <c r="L25" i="14"/>
  <c r="K25" i="14"/>
  <c r="M24" i="14"/>
  <c r="L24" i="14"/>
  <c r="K24" i="14"/>
  <c r="M23" i="14"/>
  <c r="L23" i="14"/>
  <c r="K23" i="14"/>
  <c r="M22" i="14"/>
  <c r="L22" i="14"/>
  <c r="K22" i="14"/>
  <c r="M21" i="14"/>
  <c r="L21" i="14"/>
  <c r="K21" i="14"/>
  <c r="Q18" i="14"/>
  <c r="P18" i="14"/>
  <c r="O18" i="14"/>
  <c r="I18" i="14"/>
  <c r="H18" i="14"/>
  <c r="G18" i="14"/>
  <c r="E18" i="14"/>
  <c r="D18" i="14"/>
  <c r="M17" i="14"/>
  <c r="L17" i="14"/>
  <c r="K17" i="14"/>
  <c r="M16" i="14"/>
  <c r="L16" i="14"/>
  <c r="K16" i="14"/>
  <c r="M15" i="14"/>
  <c r="L15" i="14"/>
  <c r="K15" i="14"/>
  <c r="M14" i="14"/>
  <c r="L14" i="14"/>
  <c r="K14" i="14"/>
  <c r="M13" i="14"/>
  <c r="L13" i="14"/>
  <c r="K13" i="14"/>
  <c r="L12" i="14"/>
  <c r="K12" i="14"/>
  <c r="M8" i="14"/>
  <c r="L8" i="14"/>
  <c r="K8" i="14"/>
  <c r="M7" i="14"/>
  <c r="K7" i="14"/>
  <c r="M18" i="14" l="1"/>
  <c r="L18" i="14"/>
  <c r="E34" i="14"/>
  <c r="O29" i="14"/>
  <c r="O32" i="14" s="1"/>
  <c r="K18" i="14"/>
  <c r="D34" i="14"/>
  <c r="I34" i="14"/>
  <c r="P29" i="14"/>
  <c r="L29" i="14" s="1"/>
  <c r="L32" i="14" s="1"/>
  <c r="H34" i="14"/>
  <c r="G34" i="14"/>
  <c r="G36" i="14" s="1"/>
  <c r="Q29" i="14"/>
  <c r="M29" i="14" s="1"/>
  <c r="M32" i="14" s="1"/>
  <c r="AC32" i="14" l="1"/>
  <c r="AC34" i="14" s="1"/>
  <c r="O34" i="14"/>
  <c r="O36" i="14" s="1"/>
  <c r="M34" i="14"/>
  <c r="L34" i="14"/>
  <c r="K29" i="14"/>
  <c r="K32" i="14" s="1"/>
  <c r="P32" i="14"/>
  <c r="H36" i="14"/>
  <c r="I36" i="14" s="1"/>
  <c r="Q32" i="14"/>
  <c r="P34" i="14" l="1"/>
  <c r="P36" i="14" s="1"/>
  <c r="Q34" i="14"/>
  <c r="K34" i="14"/>
  <c r="K36" i="14" s="1"/>
  <c r="L36" i="14" s="1"/>
  <c r="M36" i="14" s="1"/>
  <c r="Q36" i="14" l="1"/>
  <c r="D3" i="2"/>
  <c r="D1" i="9" l="1"/>
  <c r="B43" i="2"/>
  <c r="B10" i="5"/>
  <c r="B9" i="5"/>
  <c r="F8" i="11" l="1"/>
  <c r="I33" i="6"/>
  <c r="I35" i="6" s="1"/>
  <c r="H33" i="6"/>
  <c r="H35" i="6" s="1"/>
  <c r="G33" i="6"/>
  <c r="G35" i="6" s="1"/>
  <c r="E33" i="6"/>
  <c r="E35" i="6" s="1"/>
  <c r="D33" i="6"/>
  <c r="D35" i="6" s="1"/>
  <c r="M31" i="6"/>
  <c r="L31" i="6"/>
  <c r="K31" i="6"/>
  <c r="Q29" i="6"/>
  <c r="P29" i="6"/>
  <c r="K29" i="6"/>
  <c r="Q28" i="6"/>
  <c r="P28" i="6"/>
  <c r="M27" i="6"/>
  <c r="L27" i="6"/>
  <c r="K27" i="6"/>
  <c r="M26" i="6"/>
  <c r="L26" i="6"/>
  <c r="K26" i="6"/>
  <c r="M25" i="6"/>
  <c r="L25" i="6"/>
  <c r="K25" i="6"/>
  <c r="M24" i="6"/>
  <c r="L24" i="6"/>
  <c r="K24" i="6"/>
  <c r="M23" i="6"/>
  <c r="L23" i="6"/>
  <c r="K23" i="6"/>
  <c r="M22" i="6"/>
  <c r="L22" i="6"/>
  <c r="K22" i="6"/>
  <c r="Q18" i="6"/>
  <c r="P18" i="6"/>
  <c r="O18" i="6"/>
  <c r="I18" i="6"/>
  <c r="H18" i="6"/>
  <c r="G18" i="6"/>
  <c r="E18" i="6"/>
  <c r="D18" i="6"/>
  <c r="D37" i="6" s="1"/>
  <c r="M17" i="6"/>
  <c r="L17" i="6"/>
  <c r="K17" i="6"/>
  <c r="M16" i="6"/>
  <c r="L16" i="6"/>
  <c r="K16" i="6"/>
  <c r="M15" i="6"/>
  <c r="L15" i="6"/>
  <c r="K15" i="6"/>
  <c r="M14" i="6"/>
  <c r="L14" i="6"/>
  <c r="K14" i="6"/>
  <c r="M13" i="6"/>
  <c r="L13" i="6"/>
  <c r="K13" i="6"/>
  <c r="L12" i="6"/>
  <c r="K12" i="6"/>
  <c r="M8" i="6"/>
  <c r="L8" i="6"/>
  <c r="K8" i="6"/>
  <c r="M7" i="6"/>
  <c r="L7" i="6"/>
  <c r="K7" i="6"/>
  <c r="M18" i="6" l="1"/>
  <c r="E37" i="6"/>
  <c r="K18" i="6"/>
  <c r="I37" i="6"/>
  <c r="L18" i="6"/>
  <c r="G37" i="6"/>
  <c r="G39" i="6" s="1"/>
  <c r="H37" i="6"/>
  <c r="O30" i="6"/>
  <c r="P30" i="6"/>
  <c r="L30" i="6" s="1"/>
  <c r="L33" i="6" s="1"/>
  <c r="L35" i="6" s="1"/>
  <c r="L37" i="6" s="1"/>
  <c r="Q30" i="6"/>
  <c r="H39" i="6" l="1"/>
  <c r="I39" i="6" s="1"/>
  <c r="P33" i="6"/>
  <c r="P35" i="6" s="1"/>
  <c r="P37" i="6" s="1"/>
  <c r="M30" i="6"/>
  <c r="M33" i="6" s="1"/>
  <c r="M35" i="6" s="1"/>
  <c r="M37" i="6" s="1"/>
  <c r="Q33" i="6"/>
  <c r="Q35" i="6" s="1"/>
  <c r="Q37" i="6" s="1"/>
  <c r="O33" i="6"/>
  <c r="O35" i="6" s="1"/>
  <c r="O37" i="6" s="1"/>
  <c r="O39" i="6" s="1"/>
  <c r="K30" i="6"/>
  <c r="K33" i="6" l="1"/>
  <c r="K35" i="6" s="1"/>
  <c r="K37" i="6" s="1"/>
  <c r="K39" i="6" s="1"/>
  <c r="L39" i="6" s="1"/>
  <c r="M39" i="6" s="1"/>
  <c r="P39" i="6"/>
  <c r="Q39" i="6" s="1"/>
  <c r="D39" i="5" l="1"/>
  <c r="G48" i="5" l="1"/>
  <c r="G40" i="5"/>
  <c r="G35" i="5"/>
  <c r="G29" i="5"/>
  <c r="G30" i="5" s="1"/>
  <c r="G17" i="5"/>
  <c r="G24" i="5"/>
  <c r="G25" i="5" s="1"/>
  <c r="G31" i="5" s="1"/>
  <c r="H29" i="5"/>
  <c r="H30" i="5" s="1"/>
  <c r="F29" i="5"/>
  <c r="F30" i="5" s="1"/>
  <c r="E29" i="5"/>
  <c r="D29" i="5"/>
  <c r="D30" i="5" s="1"/>
  <c r="J28" i="5"/>
  <c r="B29" i="5"/>
  <c r="B30" i="5" s="1"/>
  <c r="G41" i="5" l="1"/>
  <c r="G42" i="5" s="1"/>
  <c r="G43" i="5" s="1"/>
  <c r="G44" i="5" s="1"/>
  <c r="E30" i="5"/>
  <c r="H11" i="5" l="1"/>
  <c r="J9" i="5"/>
  <c r="D40" i="5"/>
  <c r="J10" i="5"/>
  <c r="D11" i="5"/>
  <c r="E11" i="5"/>
  <c r="E48" i="5"/>
  <c r="F11" i="5"/>
  <c r="J14" i="5"/>
  <c r="J15" i="5"/>
  <c r="J16" i="5"/>
  <c r="B17" i="5"/>
  <c r="D17" i="5"/>
  <c r="E17" i="5"/>
  <c r="F17" i="5"/>
  <c r="H17" i="5"/>
  <c r="J20" i="5"/>
  <c r="J21" i="5"/>
  <c r="J22" i="5"/>
  <c r="J23" i="5"/>
  <c r="B24" i="5"/>
  <c r="B25" i="5" s="1"/>
  <c r="D24" i="5"/>
  <c r="D25" i="5" s="1"/>
  <c r="E24" i="5"/>
  <c r="E25" i="5" s="1"/>
  <c r="F24" i="5"/>
  <c r="F25" i="5" s="1"/>
  <c r="H24" i="5"/>
  <c r="H25" i="5" s="1"/>
  <c r="J26" i="5"/>
  <c r="J27" i="5"/>
  <c r="J29" i="5" s="1"/>
  <c r="J30" i="5" s="1"/>
  <c r="J33" i="5"/>
  <c r="J34" i="5"/>
  <c r="B35" i="5"/>
  <c r="D35" i="5"/>
  <c r="E35" i="5"/>
  <c r="F35" i="5"/>
  <c r="H35" i="5"/>
  <c r="J37" i="5"/>
  <c r="J38" i="5"/>
  <c r="B40" i="5"/>
  <c r="E40" i="5"/>
  <c r="F40" i="5"/>
  <c r="H40" i="5"/>
  <c r="J46" i="5"/>
  <c r="D48" i="5"/>
  <c r="B48" i="5"/>
  <c r="F48" i="5"/>
  <c r="H48" i="5"/>
  <c r="J47" i="5"/>
  <c r="H31" i="5" l="1"/>
  <c r="E31" i="5"/>
  <c r="J35" i="5"/>
  <c r="D31" i="5"/>
  <c r="F31" i="5"/>
  <c r="J48" i="5"/>
  <c r="B11" i="5"/>
  <c r="E41" i="5"/>
  <c r="E42" i="5" s="1"/>
  <c r="E43" i="5" s="1"/>
  <c r="E44" i="5" s="1"/>
  <c r="J17" i="5"/>
  <c r="J39" i="5"/>
  <c r="H41" i="5"/>
  <c r="H42" i="5"/>
  <c r="H43" i="5" s="1"/>
  <c r="H44" i="5" s="1"/>
  <c r="B31" i="5"/>
  <c r="D41" i="5"/>
  <c r="F41" i="5"/>
  <c r="B41" i="5"/>
  <c r="J24" i="5"/>
  <c r="J11" i="5"/>
  <c r="F42" i="5" l="1"/>
  <c r="F43" i="5" s="1"/>
  <c r="F44" i="5" s="1"/>
  <c r="J40" i="5"/>
  <c r="J41" i="5" s="1"/>
  <c r="D42" i="5"/>
  <c r="D43" i="5" s="1"/>
  <c r="D44" i="5" s="1"/>
  <c r="B42" i="5"/>
  <c r="B43" i="5" s="1"/>
  <c r="B44" i="5" s="1"/>
  <c r="J25" i="5"/>
  <c r="J31" i="5" l="1"/>
  <c r="J42" i="5" s="1"/>
  <c r="J43" i="5" s="1"/>
  <c r="J44" i="5" s="1"/>
  <c r="W18" i="14" l="1"/>
  <c r="Y18" i="14"/>
  <c r="Y30" i="14"/>
  <c r="Y32" i="14" s="1"/>
  <c r="W32" i="14"/>
  <c r="W34" i="14" s="1"/>
  <c r="AA32" i="14"/>
  <c r="AA34" i="14" s="1"/>
  <c r="Y34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tc={77426103-B555-4EBC-8383-52DB4893D464}</author>
  </authors>
  <commentList>
    <comment ref="B25" authorId="0" shapeId="0" xr:uid="{77426103-B555-4EBC-8383-52DB4893D464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provision for repairs and maintenance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T5" authorId="0" shapeId="0" xr:uid="{CA13287B-2BA6-4395-AD0A-8B0F8917793B}">
      <text>
        <r>
          <rPr>
            <b/>
            <sz val="9"/>
            <color indexed="81"/>
            <rFont val="Tahoma"/>
            <family val="2"/>
          </rPr>
          <t>User: always restricted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tc={2B0B2B8E-B576-4C62-A131-81331ADC8B81}</author>
  </authors>
  <commentList>
    <comment ref="B26" authorId="0" shapeId="0" xr:uid="{2B0B2B8E-B576-4C62-A131-81331ADC8B81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balance Bumpz to Babez moved to Youthwork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tc={48534462-DFA6-444E-B985-BA47D1D38B0C}</author>
    <author>tc={1F5F4206-21B5-4FE7-88CE-52A2846F2279}</author>
  </authors>
  <commentList>
    <comment ref="D20" authorId="0" shapeId="0" xr:uid="{48534462-DFA6-444E-B985-BA47D1D38B0C}">
      <text>
        <t>[Threaded comment]
Your version of Excel allows you to read this threaded comment; however, any edits to it will get removed if the file is opened in a newer version of Excel. Learn more: https://go.microsoft.com/fwlink/?linkid=870924
Comment:
    invoice for £1196.10 raised and paid in October</t>
      </text>
    </comment>
    <comment ref="B30" authorId="1" shapeId="0" xr:uid="{1F5F4206-21B5-4FE7-88CE-52A2846F2279}">
      <text>
        <t>[Threaded comment]
Your version of Excel allows you to read this threaded comment; however, any edits to it will get removed if the file is opened in a newer version of Excel. Learn more: https://go.microsoft.com/fwlink/?linkid=870924
Comment:
    Balance Byumpz to Babez moved to Youthwork for purchasing the screen</t>
      </text>
    </comment>
  </commentList>
</comments>
</file>

<file path=xl/sharedStrings.xml><?xml version="1.0" encoding="utf-8"?>
<sst xmlns="http://schemas.openxmlformats.org/spreadsheetml/2006/main" count="846" uniqueCount="515">
  <si>
    <t>theKenilworthCentre</t>
  </si>
  <si>
    <t>Youthwork</t>
  </si>
  <si>
    <t>Projects</t>
  </si>
  <si>
    <t>Incoming Resources</t>
  </si>
  <si>
    <t>Resources Expended</t>
  </si>
  <si>
    <t>Administrative Costs</t>
  </si>
  <si>
    <t>Governance costs</t>
  </si>
  <si>
    <t>£</t>
  </si>
  <si>
    <t>Net Fixed Assets</t>
  </si>
  <si>
    <t>Debtors and Prepayments</t>
  </si>
  <si>
    <t>Cash at Bank and In Hand</t>
  </si>
  <si>
    <t>Total Current Assets</t>
  </si>
  <si>
    <t>Trade Creditors</t>
  </si>
  <si>
    <t>Accruals and Provisions</t>
  </si>
  <si>
    <t>Tax Payable</t>
  </si>
  <si>
    <t>Total Current Liabilities</t>
  </si>
  <si>
    <t>Total Net Assets</t>
  </si>
  <si>
    <t>Represented By:</t>
  </si>
  <si>
    <t>Accumulated Funds b/f</t>
  </si>
  <si>
    <t>Net funds movement for period to date</t>
  </si>
  <si>
    <t>Total Reserves</t>
  </si>
  <si>
    <t>Trustees report summary</t>
  </si>
  <si>
    <t>Results to</t>
  </si>
  <si>
    <t>Service Contracts</t>
  </si>
  <si>
    <t>Radio Abbey</t>
  </si>
  <si>
    <t>Income from lettings and licence fees</t>
  </si>
  <si>
    <t>Donations and fundraising</t>
  </si>
  <si>
    <t>Grants</t>
  </si>
  <si>
    <t>Other income</t>
  </si>
  <si>
    <t>Investment Income (interest)</t>
  </si>
  <si>
    <t>Direct costs of Lettings</t>
  </si>
  <si>
    <t>Staff and Staff-related Costs</t>
  </si>
  <si>
    <t>Rent, Rates, Utilities and Insurance</t>
  </si>
  <si>
    <t>Property Maintenance &amp; Security</t>
  </si>
  <si>
    <t>Equipment Maintenance,                            replacement and depreciation</t>
  </si>
  <si>
    <t>Advertising, Marketing and publicity</t>
  </si>
  <si>
    <t>Youthwork activities</t>
  </si>
  <si>
    <t>Project Costs</t>
  </si>
  <si>
    <t>Governance Costs</t>
  </si>
  <si>
    <t>Total resources expended</t>
  </si>
  <si>
    <t>Net Incoming/ (outgoing) resources</t>
  </si>
  <si>
    <t>Balance</t>
  </si>
  <si>
    <t>Transition</t>
  </si>
  <si>
    <t>Warwick Area Fund</t>
  </si>
  <si>
    <t>Big Society Fund</t>
  </si>
  <si>
    <t>Youthwork Projects</t>
  </si>
  <si>
    <t>Detached Work</t>
  </si>
  <si>
    <t>Bumps to Babez</t>
  </si>
  <si>
    <t>Crimebeat</t>
  </si>
  <si>
    <t>Total Grants and Designated Funds</t>
  </si>
  <si>
    <t>Funds Analysis</t>
  </si>
  <si>
    <t>Total Restricted Funds</t>
  </si>
  <si>
    <t>Property and General</t>
  </si>
  <si>
    <t>Cinema</t>
  </si>
  <si>
    <t>Junior Club</t>
  </si>
  <si>
    <t>Senior Club</t>
  </si>
  <si>
    <t>Total Youthwork</t>
  </si>
  <si>
    <t>Total Unrestricted Funds</t>
  </si>
  <si>
    <t>Not Specified</t>
  </si>
  <si>
    <t>TOTAL</t>
  </si>
  <si>
    <t>Income</t>
  </si>
  <si>
    <t xml:space="preserve">   1000 Gifts and Donations</t>
  </si>
  <si>
    <t xml:space="preserve">      1010 Gift-aided donations</t>
  </si>
  <si>
    <t xml:space="preserve">      1020 Non-gift aided donations</t>
  </si>
  <si>
    <t xml:space="preserve">   Total 1000 Gifts and Donations</t>
  </si>
  <si>
    <t xml:space="preserve">   1110 Fundraising events</t>
  </si>
  <si>
    <t xml:space="preserve">   1200 Income from Room Hires and Lettings</t>
  </si>
  <si>
    <t xml:space="preserve">      1220 Regular lettings</t>
  </si>
  <si>
    <t xml:space="preserve">      1240 One-off lettings</t>
  </si>
  <si>
    <t xml:space="preserve">   Total 1200 Income from Room Hires and Lettings</t>
  </si>
  <si>
    <t xml:space="preserve">   1300 Subscriptions</t>
  </si>
  <si>
    <t xml:space="preserve">      1310 Junior Youth Club Subscriptions</t>
  </si>
  <si>
    <t xml:space="preserve">      1330 Cinema Subscriptions</t>
  </si>
  <si>
    <t xml:space="preserve">   Total 1300 Subscriptions</t>
  </si>
  <si>
    <t xml:space="preserve">   1400 Grant Income</t>
  </si>
  <si>
    <t xml:space="preserve">   1500 Miscellaneous Income</t>
  </si>
  <si>
    <t xml:space="preserve">   1600 Tuck shop sales</t>
  </si>
  <si>
    <t>Total Income</t>
  </si>
  <si>
    <t>Gross Profit</t>
  </si>
  <si>
    <t>Expenses</t>
  </si>
  <si>
    <t xml:space="preserve">   3000 Personnel Costs</t>
  </si>
  <si>
    <t xml:space="preserve">      3010 Salaries - Admin and Management</t>
  </si>
  <si>
    <t xml:space="preserve">      3020 Salaries - Premises</t>
  </si>
  <si>
    <t xml:space="preserve">      3030 Salaries - Youth Workers</t>
  </si>
  <si>
    <t xml:space="preserve">      3040 Contract staff costs</t>
  </si>
  <si>
    <t xml:space="preserve">      3090 Employers National Insurance Contributions</t>
  </si>
  <si>
    <t xml:space="preserve">   Total 3000 Personnel Costs</t>
  </si>
  <si>
    <t xml:space="preserve">   3100 Other staff costs</t>
  </si>
  <si>
    <t xml:space="preserve">      3140 CRB checks</t>
  </si>
  <si>
    <t xml:space="preserve">      3150 Staff refreshments and welfare</t>
  </si>
  <si>
    <t xml:space="preserve">   Total 3100 Other staff costs</t>
  </si>
  <si>
    <t xml:space="preserve">   4000 Premises Costs</t>
  </si>
  <si>
    <t xml:space="preserve">      4020 Rates</t>
  </si>
  <si>
    <t xml:space="preserve">      4100 Utilities</t>
  </si>
  <si>
    <t xml:space="preserve">         4110 Gas</t>
  </si>
  <si>
    <t xml:space="preserve">         4120 Electricity</t>
  </si>
  <si>
    <t xml:space="preserve">         4130 Water</t>
  </si>
  <si>
    <t xml:space="preserve">         4140 Refuse collection and Waste Disposal</t>
  </si>
  <si>
    <t xml:space="preserve">      Total 4100 Utilities</t>
  </si>
  <si>
    <t xml:space="preserve">      4300 Security Costs</t>
  </si>
  <si>
    <t xml:space="preserve">      4400 Property Repairs and Maintenance</t>
  </si>
  <si>
    <t xml:space="preserve">         4410 Maintenance Contracts</t>
  </si>
  <si>
    <t xml:space="preserve">      Total 4400 Property Repairs and Maintenance</t>
  </si>
  <si>
    <t xml:space="preserve">      4500 Cleaning Materials</t>
  </si>
  <si>
    <t xml:space="preserve">   Total 4000 Premises Costs</t>
  </si>
  <si>
    <t xml:space="preserve">   5000 Equipment costs</t>
  </si>
  <si>
    <t xml:space="preserve">      5020 IT equipment expensed</t>
  </si>
  <si>
    <t xml:space="preserve">      5040 Other Small Tools and Equipment</t>
  </si>
  <si>
    <t xml:space="preserve">   Total 5000 Equipment costs</t>
  </si>
  <si>
    <t xml:space="preserve">   6000 Administration Costs</t>
  </si>
  <si>
    <t xml:space="preserve">      6030 Office Supplies and Stationery</t>
  </si>
  <si>
    <t xml:space="preserve">      6040 Postage and Delivery</t>
  </si>
  <si>
    <t xml:space="preserve">      6050 IT Licences</t>
  </si>
  <si>
    <t xml:space="preserve">      6060 Other Licences</t>
  </si>
  <si>
    <t xml:space="preserve">      6070 Dues and Subscriptions</t>
  </si>
  <si>
    <t xml:space="preserve">      6300 Bought-in Admin Services</t>
  </si>
  <si>
    <t xml:space="preserve">      6600 Advertising/Promotional</t>
  </si>
  <si>
    <t xml:space="preserve">   Total 6000 Administration Costs</t>
  </si>
  <si>
    <t xml:space="preserve">   7000 Youthwork Costs</t>
  </si>
  <si>
    <t xml:space="preserve">      7010 Youthwork materials and consumables</t>
  </si>
  <si>
    <t xml:space="preserve">      7030 Youthwork trips and outings</t>
  </si>
  <si>
    <t xml:space="preserve">      7040 Tuck shop expenses</t>
  </si>
  <si>
    <t xml:space="preserve">   Total 7000 Youthwork Costs</t>
  </si>
  <si>
    <t xml:space="preserve">   8000 Governance Costs</t>
  </si>
  <si>
    <t>Total Expenses</t>
  </si>
  <si>
    <t>Net Operating Income</t>
  </si>
  <si>
    <t>Net Income</t>
  </si>
  <si>
    <t>Balance Sheet</t>
  </si>
  <si>
    <t>Total per</t>
  </si>
  <si>
    <t>Adjustments</t>
  </si>
  <si>
    <t>QB</t>
  </si>
  <si>
    <t>Tax and NI</t>
  </si>
  <si>
    <t>Rounding</t>
  </si>
  <si>
    <t>Revised</t>
  </si>
  <si>
    <t xml:space="preserve"> </t>
  </si>
  <si>
    <t>payment in advance</t>
  </si>
  <si>
    <t>adjustment</t>
  </si>
  <si>
    <t xml:space="preserve">    </t>
  </si>
  <si>
    <t xml:space="preserve">      Fixed Asset</t>
  </si>
  <si>
    <t xml:space="preserve">      Cost</t>
  </si>
  <si>
    <t xml:space="preserve">      Accum Depreciation</t>
  </si>
  <si>
    <t xml:space="preserve">      Total Fixed Asset</t>
  </si>
  <si>
    <t xml:space="preserve">       </t>
  </si>
  <si>
    <t xml:space="preserve">         Current Assets</t>
  </si>
  <si>
    <t xml:space="preserve">            0215 Undeposited Funds</t>
  </si>
  <si>
    <t xml:space="preserve">            0230 Prepayments</t>
  </si>
  <si>
    <t xml:space="preserve">         Total Current Assets</t>
  </si>
  <si>
    <t xml:space="preserve">         Cash at bank and in hand</t>
  </si>
  <si>
    <t xml:space="preserve">            0300 Cash at Bank and in Hand</t>
  </si>
  <si>
    <t xml:space="preserve">               0310 No. 1 Account</t>
  </si>
  <si>
    <t xml:space="preserve">               0320 Expenses Account</t>
  </si>
  <si>
    <t xml:space="preserve">               0330 Savings</t>
  </si>
  <si>
    <t xml:space="preserve">               0340 Petty Cash</t>
  </si>
  <si>
    <t xml:space="preserve">            Total 0300 Cash at Bank and in Hand</t>
  </si>
  <si>
    <t xml:space="preserve">         Total Cash at bank and in hand</t>
  </si>
  <si>
    <t xml:space="preserve">         Debtors</t>
  </si>
  <si>
    <t xml:space="preserve">            0210 Lettings Receivables</t>
  </si>
  <si>
    <t xml:space="preserve">         Total Debtors</t>
  </si>
  <si>
    <t xml:space="preserve">         Net current assets</t>
  </si>
  <si>
    <t xml:space="preserve">         Creditors: amounts falling due within one year</t>
  </si>
  <si>
    <t xml:space="preserve">            Trade Creditors</t>
  </si>
  <si>
    <t xml:space="preserve">               0410 Creditors</t>
  </si>
  <si>
    <t xml:space="preserve">            Total Trade Creditors</t>
  </si>
  <si>
    <t xml:space="preserve">            Current Liabilities</t>
  </si>
  <si>
    <t xml:space="preserve">               0420 Tax and National Insurance payable</t>
  </si>
  <si>
    <t xml:space="preserve">               0430 Accruals</t>
  </si>
  <si>
    <t xml:space="preserve">               0450 Customer Deposits/Payments in Advance</t>
  </si>
  <si>
    <t xml:space="preserve">            Total Current Liabilities</t>
  </si>
  <si>
    <t xml:space="preserve">         Total Creditors: amounts falling due within one year</t>
  </si>
  <si>
    <t xml:space="preserve">      Net current assets (liabilities)</t>
  </si>
  <si>
    <t xml:space="preserve">   Total assets less current liabilities</t>
  </si>
  <si>
    <t>Total net assets (liabilities)</t>
  </si>
  <si>
    <t>Capital and Reserves</t>
  </si>
  <si>
    <t xml:space="preserve">   0910 Retained Earnings</t>
  </si>
  <si>
    <t xml:space="preserve">   Profit for the year</t>
  </si>
  <si>
    <t>Total Capital and Reserves</t>
  </si>
  <si>
    <t>the Kenilworth Centre</t>
  </si>
  <si>
    <t>Miscellaneous</t>
  </si>
  <si>
    <t>Summary of Open Restricted Funds</t>
  </si>
  <si>
    <t>2014/15</t>
  </si>
  <si>
    <t>Balance Sheet as at</t>
  </si>
  <si>
    <t>Business Sponsorship</t>
  </si>
  <si>
    <t xml:space="preserve">   1700 Business Sponsorship</t>
  </si>
  <si>
    <t xml:space="preserve">               0211 Provision for Bad Debts</t>
  </si>
  <si>
    <t xml:space="preserve">            Total 0210 Lettings Receivables</t>
  </si>
  <si>
    <t>Bank</t>
  </si>
  <si>
    <t>Interest</t>
  </si>
  <si>
    <t>TKC Biz</t>
  </si>
  <si>
    <t>2015/16</t>
  </si>
  <si>
    <t xml:space="preserve">      1250 Catering</t>
  </si>
  <si>
    <t>Building Project</t>
  </si>
  <si>
    <t>Youth Activities</t>
  </si>
  <si>
    <t>Restricted</t>
  </si>
  <si>
    <t>Unrestricted</t>
  </si>
  <si>
    <t>Restricted Funds</t>
  </si>
  <si>
    <t>Detached</t>
  </si>
  <si>
    <t>Unrestricted Funds</t>
  </si>
  <si>
    <t xml:space="preserve">      1210 Licence fee income</t>
  </si>
  <si>
    <t xml:space="preserve">         1225 Discounts Given - regular lettings</t>
  </si>
  <si>
    <t xml:space="preserve">      Total 1220 Regular lettings</t>
  </si>
  <si>
    <t xml:space="preserve">      3110 TRavel and subsistence</t>
  </si>
  <si>
    <t xml:space="preserve">      4200 Buildings Insurance</t>
  </si>
  <si>
    <t xml:space="preserve">         4420 Call out charges on maintenance contract</t>
  </si>
  <si>
    <t xml:space="preserve">         4440 Building maintenance and improvement</t>
  </si>
  <si>
    <t xml:space="preserve">   Total 8000 Governance Costs</t>
  </si>
  <si>
    <t>Centre Management</t>
  </si>
  <si>
    <t>NEW BUSINESS PLAN 2016 FINANCIAL SUMMARY</t>
  </si>
  <si>
    <t>TOTAL ALL ACTIVITIES</t>
  </si>
  <si>
    <t>(incl inflation of 2% p.a. as appropriate)</t>
  </si>
  <si>
    <t>Actual</t>
  </si>
  <si>
    <t>Forecast</t>
  </si>
  <si>
    <t>2016/17</t>
  </si>
  <si>
    <t>2017/18</t>
  </si>
  <si>
    <t>2018/19</t>
  </si>
  <si>
    <t>INCOME</t>
  </si>
  <si>
    <t>Lettings &amp; licence fees</t>
  </si>
  <si>
    <t>Lettings</t>
  </si>
  <si>
    <t>Licence fees</t>
  </si>
  <si>
    <t>Donations &amp; fundraising:</t>
  </si>
  <si>
    <t>Town Council core funding</t>
  </si>
  <si>
    <t>Town Council youth activity funding</t>
  </si>
  <si>
    <t>Lions/Rotary/Round Table joint funding</t>
  </si>
  <si>
    <t>Other donations &amp; fundraising</t>
  </si>
  <si>
    <t>Investment income (interest)</t>
  </si>
  <si>
    <t>EXPENSES</t>
  </si>
  <si>
    <t>Staff &amp; staff-related costs</t>
  </si>
  <si>
    <t>Rent, rates, utilities &amp; insurance</t>
  </si>
  <si>
    <t>Property maintenance, security &amp; depreciation</t>
  </si>
  <si>
    <t>Equipment maintenance, replacement &amp; depreciation</t>
  </si>
  <si>
    <t>Administrative costs</t>
  </si>
  <si>
    <t>Advertising, marketing &amp; publicity</t>
  </si>
  <si>
    <t>Youthwork materials &amp; consumables</t>
  </si>
  <si>
    <t>Project costs</t>
  </si>
  <si>
    <t>Internal recharges</t>
  </si>
  <si>
    <t>Exceptional items</t>
  </si>
  <si>
    <t>Sub-total</t>
  </si>
  <si>
    <t>NET INCOME/(OUTGOING RESOURCES)</t>
  </si>
  <si>
    <t xml:space="preserve"> CUMULATIVE NET INCOME/(OUTGOING RESOURCES)</t>
  </si>
  <si>
    <t>Year to Date Actual</t>
  </si>
  <si>
    <t xml:space="preserve"> Total</t>
  </si>
  <si>
    <t>% of Full Year Plan</t>
  </si>
  <si>
    <t>Summary of Open Restricted Funds Current Year Spend</t>
  </si>
  <si>
    <t xml:space="preserve">   Building Project</t>
  </si>
  <si>
    <t xml:space="preserve">      WREN Building Project</t>
  </si>
  <si>
    <t xml:space="preserve">   Total Building Project</t>
  </si>
  <si>
    <t xml:space="preserve">   Bumpz To Babez</t>
  </si>
  <si>
    <t xml:space="preserve">   Change Project</t>
  </si>
  <si>
    <t xml:space="preserve">   Detached Work</t>
  </si>
  <si>
    <t xml:space="preserve">      Rotary Detached Youth Work</t>
  </si>
  <si>
    <t xml:space="preserve">   Total Detached Work</t>
  </si>
  <si>
    <t xml:space="preserve">   Mentoring Project</t>
  </si>
  <si>
    <t xml:space="preserve">      Kenilworth United Charities</t>
  </si>
  <si>
    <t xml:space="preserve">   Total Mentoring Project</t>
  </si>
  <si>
    <t>Total Projects</t>
  </si>
  <si>
    <t xml:space="preserve">      Detached - KTC</t>
  </si>
  <si>
    <t xml:space="preserve">   Price Family</t>
  </si>
  <si>
    <t>Diff</t>
  </si>
  <si>
    <t xml:space="preserve">   Transition Fund</t>
  </si>
  <si>
    <t xml:space="preserve">      WCC Big Society Fund</t>
  </si>
  <si>
    <t xml:space="preserve">      WDC Area Fund</t>
  </si>
  <si>
    <t xml:space="preserve">   Total Transition Fund</t>
  </si>
  <si>
    <t>Deferred Income</t>
  </si>
  <si>
    <t>Capital Spend</t>
  </si>
  <si>
    <t>Change Project</t>
  </si>
  <si>
    <t>Price Family Equipment Fund</t>
  </si>
  <si>
    <t>Reporting Date</t>
  </si>
  <si>
    <t>QB Report Info</t>
  </si>
  <si>
    <t>Dec 2016</t>
  </si>
  <si>
    <t>Sept 2016</t>
  </si>
  <si>
    <t>Jun 2016</t>
  </si>
  <si>
    <t xml:space="preserve">      6999 Office/General Administrative Expenses</t>
  </si>
  <si>
    <t xml:space="preserve">      8010 Audit fees</t>
  </si>
  <si>
    <t>Sunday, Feb 26, 2017 01:35:26 PM GMT0 - Accrual Basis</t>
  </si>
  <si>
    <t>Sunday, Feb 26, 2017 01:42:46 PM GMT0 - Accrual Basis</t>
  </si>
  <si>
    <t xml:space="preserve">      Change Project - Sheldon Trust (Richard's Salary)</t>
  </si>
  <si>
    <t xml:space="preserve">   Total Change Project</t>
  </si>
  <si>
    <t>Expenditure</t>
  </si>
  <si>
    <t>Per Funds Analysis Report</t>
  </si>
  <si>
    <t>As of December 31 2016</t>
  </si>
  <si>
    <t>(incl capital spend)</t>
  </si>
  <si>
    <t xml:space="preserve">      6900 Bank charges</t>
  </si>
  <si>
    <t>March 17</t>
  </si>
  <si>
    <t>Bank charges</t>
  </si>
  <si>
    <t>Total assets less current liabilities</t>
  </si>
  <si>
    <t>Net current assets (liabilities)</t>
  </si>
  <si>
    <t>Total Creditors: amounts falling due within one year</t>
  </si>
  <si>
    <t xml:space="preserve">   Total Current Liabilities</t>
  </si>
  <si>
    <t xml:space="preserve">      0450 Customer Deposits and Defered Income</t>
  </si>
  <si>
    <t xml:space="preserve">      0430 Accruals</t>
  </si>
  <si>
    <t xml:space="preserve">      0420 Tax and National Insurance payable</t>
  </si>
  <si>
    <t xml:space="preserve">   Current Liabilities</t>
  </si>
  <si>
    <t xml:space="preserve">   Total Trade Creditors</t>
  </si>
  <si>
    <t xml:space="preserve">      0410 Creditors</t>
  </si>
  <si>
    <t xml:space="preserve">   Trade Creditors</t>
  </si>
  <si>
    <t>Creditors: amounts falling due within one year</t>
  </si>
  <si>
    <t>Net current assets</t>
  </si>
  <si>
    <t xml:space="preserve">   0290 Allowance for bad debts</t>
  </si>
  <si>
    <t xml:space="preserve">   0240 Supplier deposits</t>
  </si>
  <si>
    <t xml:space="preserve">   0230 Prepayments</t>
  </si>
  <si>
    <t xml:space="preserve">   0215 Undeposited Funds</t>
  </si>
  <si>
    <t>Current Assets</t>
  </si>
  <si>
    <t>Total Debtors</t>
  </si>
  <si>
    <t xml:space="preserve">   0220 Grants Receivable</t>
  </si>
  <si>
    <t xml:space="preserve">   Total 0210 Lettings Receivables</t>
  </si>
  <si>
    <t xml:space="preserve">      0211 Provision for Bad Debts</t>
  </si>
  <si>
    <t xml:space="preserve">   0210 Lettings Receivables</t>
  </si>
  <si>
    <t>Debtors</t>
  </si>
  <si>
    <t>Total Cash at bank and in hand</t>
  </si>
  <si>
    <t xml:space="preserve">   Total 0300 Cash at Bank and in Hand</t>
  </si>
  <si>
    <t xml:space="preserve">      0340 Petty Cash</t>
  </si>
  <si>
    <t xml:space="preserve">      0330 Savings</t>
  </si>
  <si>
    <t xml:space="preserve">      0320 Expenses Account</t>
  </si>
  <si>
    <t xml:space="preserve">      0310 No. 1 Account</t>
  </si>
  <si>
    <t xml:space="preserve">   0300 Cash at Bank and in Hand</t>
  </si>
  <si>
    <t>Cash at bank and in hand</t>
  </si>
  <si>
    <t>Total Fixed Asset</t>
  </si>
  <si>
    <t xml:space="preserve">   Total Tangible assets</t>
  </si>
  <si>
    <t xml:space="preserve">      0120 Acumulated Depreciation on Equipment</t>
  </si>
  <si>
    <t xml:space="preserve">      0110 Accumulated Depreciation</t>
  </si>
  <si>
    <t xml:space="preserve">      0050 Equipment</t>
  </si>
  <si>
    <t xml:space="preserve">      0030 Fixtures and Fittings</t>
  </si>
  <si>
    <t xml:space="preserve">      0020 Leasehold Improvements</t>
  </si>
  <si>
    <t xml:space="preserve">   Tangible assets</t>
  </si>
  <si>
    <t>Fixed Asset</t>
  </si>
  <si>
    <t>Total</t>
  </si>
  <si>
    <t>Sunday, 4th June, 2017 03.45 PM GMT +1.00 - Accrual Basis</t>
  </si>
  <si>
    <t>CENTRE MANAGEMENT</t>
  </si>
  <si>
    <t>YOUTH ACTIVIES</t>
  </si>
  <si>
    <t>RADIO ABBEY</t>
  </si>
  <si>
    <t xml:space="preserve">      3120 Staff Training</t>
  </si>
  <si>
    <t xml:space="preserve">      5300 Equipment Rental</t>
  </si>
  <si>
    <t>Centre M'gement</t>
  </si>
  <si>
    <t>2017/18 Business Plan / Budget</t>
  </si>
  <si>
    <t xml:space="preserve">   Radio Abbey</t>
  </si>
  <si>
    <t>Mentoring Project</t>
  </si>
  <si>
    <t xml:space="preserve">      3130 Staff recruitment</t>
  </si>
  <si>
    <t xml:space="preserve">      5010 Equipment maintenance and repairs</t>
  </si>
  <si>
    <t xml:space="preserve">         6620 General Advertising/Promotional</t>
  </si>
  <si>
    <t xml:space="preserve">      Total 6600 Advertising/Promotional</t>
  </si>
  <si>
    <t>Other Income</t>
  </si>
  <si>
    <t xml:space="preserve">   1900 Interest Income</t>
  </si>
  <si>
    <t>Total Other Income</t>
  </si>
  <si>
    <t>Net Other Income</t>
  </si>
  <si>
    <t>April - December, 2017</t>
  </si>
  <si>
    <t>March 18</t>
  </si>
  <si>
    <t>Accruals</t>
  </si>
  <si>
    <t>Prepayments</t>
  </si>
  <si>
    <t xml:space="preserve">      3091 Pension Costs - EE</t>
  </si>
  <si>
    <t xml:space="preserve">      3092 Pension Costs - ER</t>
  </si>
  <si>
    <t xml:space="preserve">      6500 Legal and Professional Fees</t>
  </si>
  <si>
    <t xml:space="preserve">      Total 6500 Legal and Professional Fees</t>
  </si>
  <si>
    <t>???</t>
  </si>
  <si>
    <t>December 2011 - March 2018</t>
  </si>
  <si>
    <t xml:space="preserve">      1320 Seniour Youth Club Subscriptions</t>
  </si>
  <si>
    <t xml:space="preserve">      7020 Youthwork bought in services</t>
  </si>
  <si>
    <t>.</t>
  </si>
  <si>
    <t>Sept 2018</t>
  </si>
  <si>
    <t xml:space="preserve">   2095 Other debtors</t>
  </si>
  <si>
    <t xml:space="preserve"> Funds Analysis Report</t>
  </si>
  <si>
    <t xml:space="preserve">      0040 Furniture</t>
  </si>
  <si>
    <t xml:space="preserve">      0060 Computers</t>
  </si>
  <si>
    <t>Friday, Jan 11, 2019 11:11:09 AM GMT0 - Accrual Basis</t>
  </si>
  <si>
    <t xml:space="preserve">inv. No. </t>
  </si>
  <si>
    <t xml:space="preserve">         6510 Legal Fees</t>
  </si>
  <si>
    <t xml:space="preserve">     4600 Decorating</t>
  </si>
  <si>
    <t>Water Accrual (from April - June)</t>
  </si>
  <si>
    <t>April - Sept</t>
  </si>
  <si>
    <t>Oct</t>
  </si>
  <si>
    <t>Nov</t>
  </si>
  <si>
    <t>Dec</t>
  </si>
  <si>
    <t>Jan</t>
  </si>
  <si>
    <t>Feb</t>
  </si>
  <si>
    <t>Mar</t>
  </si>
  <si>
    <t xml:space="preserve">current </t>
  </si>
  <si>
    <t>Spending</t>
  </si>
  <si>
    <t>Budget</t>
  </si>
  <si>
    <t>Budget 19-20</t>
  </si>
  <si>
    <t>Budget 18-19</t>
  </si>
  <si>
    <t>STAFF COSTS</t>
  </si>
  <si>
    <t>Hours</t>
  </si>
  <si>
    <t>Rate</t>
  </si>
  <si>
    <t>Weeks</t>
  </si>
  <si>
    <t>Current salary</t>
  </si>
  <si>
    <t>Increase @ 1/1/19</t>
  </si>
  <si>
    <t>Salary @ 1/1/19</t>
  </si>
  <si>
    <t>Salary 2018/19</t>
  </si>
  <si>
    <t>Other costs</t>
  </si>
  <si>
    <t>Staff costs 2019/20</t>
  </si>
  <si>
    <t>CM</t>
  </si>
  <si>
    <t>YA</t>
  </si>
  <si>
    <t>RA</t>
  </si>
  <si>
    <t>General C.O.L increase</t>
  </si>
  <si>
    <t>Holly</t>
  </si>
  <si>
    <t>Louise</t>
  </si>
  <si>
    <t>Michaela</t>
  </si>
  <si>
    <t>?</t>
  </si>
  <si>
    <t>Living wage increase from £8.75 to £9.00 ph</t>
  </si>
  <si>
    <t>Hope</t>
  </si>
  <si>
    <t>Increase to full rate for role (£15.00 p.h.)</t>
  </si>
  <si>
    <t>Sam</t>
  </si>
  <si>
    <t>Katie</t>
  </si>
  <si>
    <t>Munj</t>
  </si>
  <si>
    <t>Andrea</t>
  </si>
  <si>
    <t>Increase to full rate for role (£12.00 p.h.)</t>
  </si>
  <si>
    <t>Staff related cost</t>
  </si>
  <si>
    <t>Pension</t>
  </si>
  <si>
    <t>Monthly</t>
  </si>
  <si>
    <t>cost</t>
  </si>
  <si>
    <t>Pension EE</t>
  </si>
  <si>
    <t>Pension ER</t>
  </si>
  <si>
    <t>Katie left 20/09/19</t>
  </si>
  <si>
    <t>2020/21 Budget</t>
  </si>
  <si>
    <t>Donations</t>
  </si>
  <si>
    <t xml:space="preserve">         6610 Fund Raising Costs</t>
  </si>
  <si>
    <t>COVID-19</t>
  </si>
  <si>
    <t>Fundraising</t>
  </si>
  <si>
    <t>COVID - 19</t>
  </si>
  <si>
    <t>2020/21
Budget</t>
  </si>
  <si>
    <t>Fundrainsing</t>
  </si>
  <si>
    <t>Sept</t>
  </si>
  <si>
    <t>Jun</t>
  </si>
  <si>
    <t>Apr</t>
  </si>
  <si>
    <t>Aug</t>
  </si>
  <si>
    <t>Jul</t>
  </si>
  <si>
    <t>May</t>
  </si>
  <si>
    <t>Elizabeth</t>
  </si>
  <si>
    <t>Holly Nov &amp; Dec</t>
  </si>
  <si>
    <t>P&amp;G</t>
  </si>
  <si>
    <t>Youthclub</t>
  </si>
  <si>
    <t>Mentoring</t>
  </si>
  <si>
    <t xml:space="preserve">        4490 Provision for Repairs and renewals</t>
  </si>
  <si>
    <t xml:space="preserve">      0010 Leasehold Buildings</t>
  </si>
  <si>
    <t>Water plus Feb and March 20</t>
  </si>
  <si>
    <t>Audit Fees</t>
  </si>
  <si>
    <t>Engie March 2021</t>
  </si>
  <si>
    <t>2-01873487</t>
  </si>
  <si>
    <t>Hallmaster</t>
  </si>
  <si>
    <t>Single venue licence 1 Year</t>
  </si>
  <si>
    <t>HM-2505</t>
  </si>
  <si>
    <t>Local Giving Webpage Membership 14/02/21 - 13/02/22</t>
  </si>
  <si>
    <t>Mainstream digital - Superfast FTTC/P 24/02/21 - 23/05/21</t>
  </si>
  <si>
    <t>Opus March 2021</t>
  </si>
  <si>
    <t>PPL PRS - Jan 21 -Dec 21</t>
  </si>
  <si>
    <t>CCPAS  Thirtyone:eight March  10 -Feb 22</t>
  </si>
  <si>
    <t>TX00057287</t>
  </si>
  <si>
    <t>Effective 01/04/21</t>
  </si>
  <si>
    <t>Towergate - Ecclesiastical Insurance</t>
  </si>
  <si>
    <t>Zoom April 21</t>
  </si>
  <si>
    <t>INV75794860</t>
  </si>
  <si>
    <t>squarespace Feb 21 - Jan 22</t>
  </si>
  <si>
    <t>Furlough claim March 21 (received in April 21)</t>
  </si>
  <si>
    <t>Midland Lift Services</t>
  </si>
  <si>
    <t>24/03/21 - 23/03/22</t>
  </si>
  <si>
    <t>Wellbeing Hub</t>
  </si>
  <si>
    <t xml:space="preserve">Garden Playgroup expenses </t>
  </si>
  <si>
    <t>Amazon invoice 139025 and extra expenses paid on CC</t>
  </si>
  <si>
    <t>WDC - laptops for Youthwork</t>
  </si>
  <si>
    <t>Provision for Heating</t>
  </si>
  <si>
    <t>WDC- laptops for Youthwork + screen in Youthroom</t>
  </si>
  <si>
    <t>Provision for the Front Doors</t>
  </si>
  <si>
    <t xml:space="preserve">      6950 Bad debts</t>
  </si>
  <si>
    <t>Garden Playgroup</t>
  </si>
  <si>
    <t>Garden Playground</t>
  </si>
  <si>
    <t>Garden playground</t>
  </si>
  <si>
    <t>Community Garden project</t>
  </si>
  <si>
    <t xml:space="preserve">         4430 Ground Maintenance and Gardening</t>
  </si>
  <si>
    <t xml:space="preserve">   7500 Project costs</t>
  </si>
  <si>
    <t xml:space="preserve">      7520 Project materials</t>
  </si>
  <si>
    <t xml:space="preserve">   Total 7500 Project costs</t>
  </si>
  <si>
    <t>Development Project - Post Covid Fund</t>
  </si>
  <si>
    <t>Inclusive Projet</t>
  </si>
  <si>
    <t>Slow Cooking</t>
  </si>
  <si>
    <t>Slow cooking course</t>
  </si>
  <si>
    <t>Development project</t>
  </si>
  <si>
    <t xml:space="preserve">      1340 Garden playground subscription</t>
  </si>
  <si>
    <t xml:space="preserve">      7050 Garden playground material/consumables and services</t>
  </si>
  <si>
    <t xml:space="preserve">      7060 Wellbeing project material/consumables and services</t>
  </si>
  <si>
    <t>Asylum Seekers</t>
  </si>
  <si>
    <t>Handmade and Homegrown event</t>
  </si>
  <si>
    <t>-</t>
  </si>
  <si>
    <t>Other Expenses</t>
  </si>
  <si>
    <t xml:space="preserve">   9900 Amortisation and Depreciation</t>
  </si>
  <si>
    <t xml:space="preserve">      9910 Depreciation on Leasehold Buildings</t>
  </si>
  <si>
    <t xml:space="preserve">      9920 Depreciation on F&amp;F, Furniture and Equipment</t>
  </si>
  <si>
    <t xml:space="preserve">   Total 9900 Amortisation and Depreciation</t>
  </si>
  <si>
    <t>Total Other Expenses</t>
  </si>
  <si>
    <t>US girls project</t>
  </si>
  <si>
    <t>Handmade &amp; Homegrown</t>
  </si>
  <si>
    <t xml:space="preserve">      1350 Youthwork projects subs</t>
  </si>
  <si>
    <t xml:space="preserve">      6011 Telephones and Broadband</t>
  </si>
  <si>
    <t xml:space="preserve">      6020 Photocopying</t>
  </si>
  <si>
    <t>* to update</t>
  </si>
  <si>
    <t>December 2011 - July 22</t>
  </si>
  <si>
    <t>April 22 - July 22</t>
  </si>
  <si>
    <t>Inclusive projects</t>
  </si>
  <si>
    <t xml:space="preserve">      1021 Donations for non-tkc activities</t>
  </si>
  <si>
    <t>April - July 23</t>
  </si>
  <si>
    <t>Transition funding</t>
  </si>
  <si>
    <t>Youth and Community Projects</t>
  </si>
  <si>
    <t>Community Garden project (Greenshoots)</t>
  </si>
  <si>
    <t>Total Restricted</t>
  </si>
  <si>
    <t>Open balance 31/03/23</t>
  </si>
  <si>
    <t>Balance 31/07/23</t>
  </si>
  <si>
    <t>Restricted Funds 31/07/2023</t>
  </si>
  <si>
    <t>A</t>
  </si>
  <si>
    <t>non-tKC Asylum S</t>
  </si>
  <si>
    <t>Inclusive Projects</t>
  </si>
  <si>
    <t xml:space="preserve">Garden Playground - Rain &amp; Shine </t>
  </si>
  <si>
    <t>Menotring and couselling underfunded - looking for support from KUC</t>
  </si>
  <si>
    <t xml:space="preserve">Will be adjusted in Sept - Greenshoots funded </t>
  </si>
  <si>
    <t xml:space="preserve">Warm Hubs / Board Games/ Kickboxing / Crimbeat / Pop-up Café </t>
  </si>
  <si>
    <t xml:space="preserve">Previous sessions funded to the values of £500 not yet allocated. So actual -£107 - spoken to sam about fundraising for it </t>
  </si>
  <si>
    <t xml:space="preserve">Wren building project - This is a historical grant, provided by Wren which is now called  FCC coomunity foundation. This  has been used for depreciating assets and £870 has been depreciated from it each year. We have it for 11 years of depreciation we are in year 7 </t>
  </si>
  <si>
    <t xml:space="preserve">I will be using the £3k in this to debvelop the POD - See Abbey End Studio Notes </t>
  </si>
  <si>
    <t xml:space="preserve">Using circs £2k of this for drawings and plans see Abbey Studio notes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</si>
</sst>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£&quot;#,##0;[Red]\-&quot;£&quot;#,##0"/>
    <numFmt numFmtId="44" formatCode="_-&quot;£&quot;* #,##0.00_-;\-&quot;£&quot;* #,##0.00_-;_-&quot;£&quot;* &quot;-&quot;??_-;_-@_-"/>
    <numFmt numFmtId="164" formatCode="dd\ mmm\ yy"/>
    <numFmt numFmtId="165" formatCode="_-\£* #,##0.00_-;&quot;-£&quot;* #,##0.00_-;_-\£* \-??_-;_-@_-"/>
    <numFmt numFmtId="166" formatCode="\£* #,##0.00"/>
    <numFmt numFmtId="167" formatCode="\£#,##0.00"/>
    <numFmt numFmtId="168" formatCode="&quot;£&quot;* #,##0.00\ _€"/>
    <numFmt numFmtId="169" formatCode="#,##0.00\ _€"/>
    <numFmt numFmtId="170" formatCode="&quot;£&quot;* \-#,##0.00;[Red]&quot;£&quot;* \-#,##0.00"/>
    <numFmt numFmtId="171" formatCode="#,##0_);&quot;(&quot;#,##0&quot;)&quot;;&quot;-&quot;_)"/>
    <numFmt numFmtId="172" formatCode="#,##0\ _€"/>
    <numFmt numFmtId="173" formatCode="&quot;£&quot;#,##0"/>
    <numFmt numFmtId="174" formatCode="0.0"/>
    <numFmt numFmtId="175" formatCode="&quot;£&quot;#,##0.00"/>
    <numFmt numFmtId="176" formatCode="0.0%"/>
  </numFmts>
  <fonts count="5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"/>
      <family val="2"/>
    </font>
    <font>
      <sz val="10"/>
      <name val="Calibri"/>
      <family val="2"/>
    </font>
    <font>
      <sz val="11"/>
      <color rgb="FF9C0006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color indexed="8"/>
      <name val="Arial"/>
      <family val="2"/>
    </font>
    <font>
      <sz val="1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4"/>
      <color indexed="8"/>
      <name val="Arial"/>
      <family val="2"/>
    </font>
    <font>
      <sz val="11"/>
      <color rgb="FF006100"/>
      <name val="Calibri"/>
      <family val="2"/>
      <scheme val="minor"/>
    </font>
    <font>
      <sz val="8"/>
      <color indexed="8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b/>
      <sz val="8"/>
      <color indexed="8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0">
    <xf numFmtId="0" fontId="0" fillId="0" borderId="0"/>
    <xf numFmtId="0" fontId="8" fillId="2" borderId="1" applyNumberFormat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4" fillId="0" borderId="0"/>
    <xf numFmtId="0" fontId="29" fillId="5" borderId="0" applyNumberFormat="0" applyBorder="0" applyAlignment="0" applyProtection="0"/>
    <xf numFmtId="0" fontId="39" fillId="6" borderId="0" applyNumberFormat="0" applyBorder="0" applyAlignment="0" applyProtection="0"/>
    <xf numFmtId="0" fontId="41" fillId="7" borderId="0" applyNumberFormat="0" applyBorder="0" applyAlignment="0" applyProtection="0"/>
    <xf numFmtId="0" fontId="1" fillId="0" borderId="0"/>
  </cellStyleXfs>
  <cellXfs count="32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38" fontId="0" fillId="0" borderId="0" xfId="0" applyNumberForma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wrapText="1"/>
    </xf>
    <xf numFmtId="38" fontId="4" fillId="0" borderId="3" xfId="0" applyNumberFormat="1" applyFont="1" applyBorder="1" applyAlignment="1">
      <alignment horizontal="center"/>
    </xf>
    <xf numFmtId="38" fontId="6" fillId="0" borderId="4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4" fontId="0" fillId="0" borderId="0" xfId="0" applyNumberFormat="1"/>
    <xf numFmtId="38" fontId="6" fillId="0" borderId="3" xfId="0" applyNumberFormat="1" applyFont="1" applyBorder="1" applyAlignment="1">
      <alignment horizontal="center"/>
    </xf>
    <xf numFmtId="0" fontId="4" fillId="0" borderId="5" xfId="0" applyFont="1" applyBorder="1"/>
    <xf numFmtId="165" fontId="0" fillId="0" borderId="0" xfId="0" applyNumberFormat="1"/>
    <xf numFmtId="0" fontId="0" fillId="0" borderId="0" xfId="0" applyAlignment="1">
      <alignment wrapText="1"/>
    </xf>
    <xf numFmtId="166" fontId="0" fillId="0" borderId="0" xfId="0" applyNumberForma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0" borderId="0" xfId="0" applyNumberFormat="1" applyAlignment="1">
      <alignment horizontal="right" wrapText="1"/>
    </xf>
    <xf numFmtId="167" fontId="3" fillId="0" borderId="2" xfId="0" applyNumberFormat="1" applyFont="1" applyBorder="1" applyAlignment="1">
      <alignment horizontal="right" wrapText="1"/>
    </xf>
    <xf numFmtId="167" fontId="3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right"/>
    </xf>
    <xf numFmtId="40" fontId="10" fillId="0" borderId="0" xfId="0" applyNumberFormat="1" applyFont="1" applyAlignment="1">
      <alignment horizontal="right" wrapText="1"/>
    </xf>
    <xf numFmtId="168" fontId="11" fillId="0" borderId="7" xfId="0" applyNumberFormat="1" applyFont="1" applyBorder="1" applyAlignment="1">
      <alignment horizontal="right" wrapText="1"/>
    </xf>
    <xf numFmtId="0" fontId="11" fillId="0" borderId="0" xfId="0" applyFont="1" applyAlignment="1">
      <alignment horizontal="left" wrapText="1"/>
    </xf>
    <xf numFmtId="0" fontId="5" fillId="0" borderId="11" xfId="0" applyFont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169" fontId="14" fillId="0" borderId="0" xfId="0" applyNumberFormat="1" applyFont="1" applyAlignment="1">
      <alignment wrapText="1"/>
    </xf>
    <xf numFmtId="169" fontId="14" fillId="0" borderId="0" xfId="0" applyNumberFormat="1" applyFont="1" applyAlignment="1">
      <alignment horizontal="right" wrapText="1"/>
    </xf>
    <xf numFmtId="40" fontId="14" fillId="0" borderId="0" xfId="0" applyNumberFormat="1" applyFont="1" applyAlignment="1">
      <alignment horizontal="right" wrapText="1"/>
    </xf>
    <xf numFmtId="168" fontId="13" fillId="0" borderId="13" xfId="0" applyNumberFormat="1" applyFont="1" applyBorder="1" applyAlignment="1">
      <alignment horizontal="right" wrapText="1"/>
    </xf>
    <xf numFmtId="170" fontId="13" fillId="0" borderId="13" xfId="0" applyNumberFormat="1" applyFont="1" applyBorder="1" applyAlignment="1">
      <alignment horizontal="right" wrapText="1"/>
    </xf>
    <xf numFmtId="164" fontId="2" fillId="0" borderId="0" xfId="0" applyNumberFormat="1" applyFont="1" applyAlignment="1">
      <alignment horizontal="centerContinuous"/>
    </xf>
    <xf numFmtId="0" fontId="15" fillId="0" borderId="0" xfId="0" applyFont="1"/>
    <xf numFmtId="0" fontId="16" fillId="0" borderId="0" xfId="0" applyFont="1"/>
    <xf numFmtId="0" fontId="17" fillId="0" borderId="9" xfId="0" applyFont="1" applyBorder="1"/>
    <xf numFmtId="0" fontId="17" fillId="0" borderId="8" xfId="0" applyFont="1" applyBorder="1"/>
    <xf numFmtId="0" fontId="16" fillId="0" borderId="16" xfId="0" applyFont="1" applyBorder="1"/>
    <xf numFmtId="0" fontId="19" fillId="0" borderId="0" xfId="0" applyFont="1" applyAlignment="1">
      <alignment horizontal="center"/>
    </xf>
    <xf numFmtId="0" fontId="17" fillId="0" borderId="11" xfId="0" applyFont="1" applyBorder="1"/>
    <xf numFmtId="0" fontId="17" fillId="0" borderId="15" xfId="0" applyFont="1" applyBorder="1"/>
    <xf numFmtId="3" fontId="17" fillId="0" borderId="14" xfId="0" applyNumberFormat="1" applyFont="1" applyBorder="1"/>
    <xf numFmtId="3" fontId="17" fillId="0" borderId="15" xfId="0" applyNumberFormat="1" applyFont="1" applyBorder="1"/>
    <xf numFmtId="0" fontId="17" fillId="0" borderId="14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0" xfId="0" applyFont="1"/>
    <xf numFmtId="3" fontId="17" fillId="0" borderId="9" xfId="0" applyNumberFormat="1" applyFont="1" applyBorder="1"/>
    <xf numFmtId="3" fontId="17" fillId="0" borderId="0" xfId="0" applyNumberFormat="1" applyFont="1"/>
    <xf numFmtId="3" fontId="17" fillId="0" borderId="8" xfId="0" applyNumberFormat="1" applyFont="1" applyBorder="1"/>
    <xf numFmtId="3" fontId="17" fillId="0" borderId="16" xfId="0" applyNumberFormat="1" applyFont="1" applyBorder="1"/>
    <xf numFmtId="3" fontId="18" fillId="0" borderId="0" xfId="0" applyNumberFormat="1" applyFont="1"/>
    <xf numFmtId="3" fontId="18" fillId="0" borderId="8" xfId="0" applyNumberFormat="1" applyFont="1" applyBorder="1"/>
    <xf numFmtId="3" fontId="18" fillId="0" borderId="9" xfId="0" applyNumberFormat="1" applyFont="1" applyBorder="1"/>
    <xf numFmtId="0" fontId="16" fillId="0" borderId="8" xfId="0" applyFont="1" applyBorder="1"/>
    <xf numFmtId="3" fontId="16" fillId="0" borderId="0" xfId="0" applyNumberFormat="1" applyFont="1"/>
    <xf numFmtId="3" fontId="16" fillId="0" borderId="8" xfId="0" applyNumberFormat="1" applyFont="1" applyBorder="1"/>
    <xf numFmtId="3" fontId="16" fillId="0" borderId="9" xfId="0" applyNumberFormat="1" applyFont="1" applyBorder="1"/>
    <xf numFmtId="3" fontId="16" fillId="0" borderId="16" xfId="0" applyNumberFormat="1" applyFont="1" applyBorder="1"/>
    <xf numFmtId="3" fontId="20" fillId="0" borderId="0" xfId="0" applyNumberFormat="1" applyFont="1"/>
    <xf numFmtId="3" fontId="20" fillId="0" borderId="8" xfId="0" applyNumberFormat="1" applyFont="1" applyBorder="1"/>
    <xf numFmtId="3" fontId="20" fillId="0" borderId="9" xfId="0" applyNumberFormat="1" applyFont="1" applyBorder="1"/>
    <xf numFmtId="0" fontId="16" fillId="0" borderId="8" xfId="0" applyFont="1" applyBorder="1" applyAlignment="1">
      <alignment horizontal="right"/>
    </xf>
    <xf numFmtId="3" fontId="16" fillId="0" borderId="19" xfId="0" applyNumberFormat="1" applyFont="1" applyBorder="1"/>
    <xf numFmtId="3" fontId="16" fillId="0" borderId="20" xfId="0" applyNumberFormat="1" applyFont="1" applyBorder="1"/>
    <xf numFmtId="3" fontId="16" fillId="0" borderId="21" xfId="0" applyNumberFormat="1" applyFont="1" applyBorder="1"/>
    <xf numFmtId="3" fontId="20" fillId="0" borderId="21" xfId="0" applyNumberFormat="1" applyFont="1" applyBorder="1"/>
    <xf numFmtId="3" fontId="20" fillId="0" borderId="19" xfId="0" applyNumberFormat="1" applyFont="1" applyBorder="1"/>
    <xf numFmtId="3" fontId="20" fillId="0" borderId="20" xfId="0" applyNumberFormat="1" applyFont="1" applyBorder="1"/>
    <xf numFmtId="3" fontId="20" fillId="0" borderId="15" xfId="0" applyNumberFormat="1" applyFont="1" applyBorder="1"/>
    <xf numFmtId="3" fontId="16" fillId="0" borderId="12" xfId="0" applyNumberFormat="1" applyFont="1" applyBorder="1"/>
    <xf numFmtId="3" fontId="16" fillId="0" borderId="22" xfId="0" applyNumberFormat="1" applyFont="1" applyBorder="1"/>
    <xf numFmtId="3" fontId="16" fillId="0" borderId="23" xfId="0" applyNumberFormat="1" applyFont="1" applyBorder="1"/>
    <xf numFmtId="3" fontId="20" fillId="0" borderId="12" xfId="0" applyNumberFormat="1" applyFont="1" applyBorder="1"/>
    <xf numFmtId="3" fontId="20" fillId="0" borderId="22" xfId="0" applyNumberFormat="1" applyFont="1" applyBorder="1"/>
    <xf numFmtId="3" fontId="20" fillId="0" borderId="23" xfId="0" applyNumberFormat="1" applyFont="1" applyBorder="1"/>
    <xf numFmtId="0" fontId="17" fillId="0" borderId="8" xfId="0" applyFont="1" applyBorder="1" applyAlignment="1">
      <alignment horizontal="right"/>
    </xf>
    <xf numFmtId="0" fontId="20" fillId="0" borderId="0" xfId="0" applyFont="1"/>
    <xf numFmtId="0" fontId="20" fillId="0" borderId="8" xfId="0" applyFont="1" applyBorder="1"/>
    <xf numFmtId="0" fontId="20" fillId="0" borderId="9" xfId="0" applyFont="1" applyBorder="1"/>
    <xf numFmtId="0" fontId="17" fillId="0" borderId="0" xfId="0" applyFont="1" applyAlignment="1">
      <alignment horizontal="right"/>
    </xf>
    <xf numFmtId="168" fontId="22" fillId="0" borderId="13" xfId="0" applyNumberFormat="1" applyFont="1" applyBorder="1" applyAlignment="1">
      <alignment horizontal="right" wrapText="1"/>
    </xf>
    <xf numFmtId="0" fontId="23" fillId="0" borderId="0" xfId="0" applyFont="1"/>
    <xf numFmtId="0" fontId="7" fillId="0" borderId="0" xfId="0" applyFont="1"/>
    <xf numFmtId="3" fontId="3" fillId="0" borderId="10" xfId="0" applyNumberFormat="1" applyFont="1" applyBorder="1"/>
    <xf numFmtId="3" fontId="0" fillId="0" borderId="13" xfId="0" applyNumberFormat="1" applyBorder="1"/>
    <xf numFmtId="14" fontId="0" fillId="0" borderId="25" xfId="0" applyNumberFormat="1" applyBorder="1"/>
    <xf numFmtId="14" fontId="0" fillId="0" borderId="0" xfId="0" applyNumberFormat="1"/>
    <xf numFmtId="14" fontId="0" fillId="3" borderId="25" xfId="0" applyNumberFormat="1" applyFill="1" applyBorder="1" applyAlignment="1">
      <alignment horizontal="center"/>
    </xf>
    <xf numFmtId="17" fontId="0" fillId="3" borderId="25" xfId="0" quotePrefix="1" applyNumberFormat="1" applyFill="1" applyBorder="1" applyAlignment="1">
      <alignment horizontal="center"/>
    </xf>
    <xf numFmtId="0" fontId="0" fillId="3" borderId="25" xfId="0" quotePrefix="1" applyFill="1" applyBorder="1" applyAlignment="1">
      <alignment horizontal="center"/>
    </xf>
    <xf numFmtId="44" fontId="0" fillId="0" borderId="0" xfId="0" applyNumberFormat="1"/>
    <xf numFmtId="0" fontId="24" fillId="0" borderId="0" xfId="5"/>
    <xf numFmtId="0" fontId="17" fillId="0" borderId="25" xfId="0" applyFont="1" applyBorder="1"/>
    <xf numFmtId="3" fontId="16" fillId="0" borderId="25" xfId="0" applyNumberFormat="1" applyFont="1" applyBorder="1"/>
    <xf numFmtId="0" fontId="17" fillId="0" borderId="26" xfId="0" applyFont="1" applyBorder="1"/>
    <xf numFmtId="0" fontId="16" fillId="0" borderId="0" xfId="0" applyFont="1" applyAlignment="1">
      <alignment horizontal="right"/>
    </xf>
    <xf numFmtId="3" fontId="16" fillId="0" borderId="27" xfId="0" applyNumberFormat="1" applyFont="1" applyBorder="1"/>
    <xf numFmtId="3" fontId="16" fillId="0" borderId="28" xfId="0" applyNumberFormat="1" applyFont="1" applyBorder="1"/>
    <xf numFmtId="3" fontId="18" fillId="0" borderId="16" xfId="0" applyNumberFormat="1" applyFont="1" applyBorder="1"/>
    <xf numFmtId="3" fontId="20" fillId="0" borderId="16" xfId="0" applyNumberFormat="1" applyFont="1" applyBorder="1"/>
    <xf numFmtId="3" fontId="20" fillId="0" borderId="27" xfId="0" applyNumberFormat="1" applyFont="1" applyBorder="1"/>
    <xf numFmtId="3" fontId="20" fillId="0" borderId="28" xfId="0" applyNumberFormat="1" applyFont="1" applyBorder="1"/>
    <xf numFmtId="0" fontId="17" fillId="0" borderId="10" xfId="0" applyFont="1" applyBorder="1"/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38" fontId="6" fillId="0" borderId="29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wrapText="1"/>
    </xf>
    <xf numFmtId="171" fontId="4" fillId="0" borderId="3" xfId="0" applyNumberFormat="1" applyFont="1" applyBorder="1" applyAlignment="1">
      <alignment horizontal="center"/>
    </xf>
    <xf numFmtId="169" fontId="14" fillId="0" borderId="0" xfId="5" applyNumberFormat="1" applyFont="1" applyAlignment="1">
      <alignment wrapText="1"/>
    </xf>
    <xf numFmtId="0" fontId="13" fillId="0" borderId="0" xfId="5" applyFont="1" applyAlignment="1">
      <alignment horizontal="left" wrapText="1"/>
    </xf>
    <xf numFmtId="168" fontId="13" fillId="0" borderId="13" xfId="5" applyNumberFormat="1" applyFont="1" applyBorder="1" applyAlignment="1">
      <alignment horizontal="right" wrapText="1"/>
    </xf>
    <xf numFmtId="170" fontId="13" fillId="0" borderId="13" xfId="5" applyNumberFormat="1" applyFont="1" applyBorder="1" applyAlignment="1">
      <alignment horizontal="right" wrapText="1"/>
    </xf>
    <xf numFmtId="169" fontId="14" fillId="0" borderId="0" xfId="5" applyNumberFormat="1" applyFont="1" applyAlignment="1">
      <alignment horizontal="right" wrapText="1"/>
    </xf>
    <xf numFmtId="40" fontId="14" fillId="0" borderId="0" xfId="5" applyNumberFormat="1" applyFont="1" applyAlignment="1">
      <alignment horizontal="right" wrapText="1"/>
    </xf>
    <xf numFmtId="0" fontId="5" fillId="0" borderId="26" xfId="5" applyFont="1" applyBorder="1" applyAlignment="1">
      <alignment horizontal="center" wrapText="1"/>
    </xf>
    <xf numFmtId="0" fontId="24" fillId="0" borderId="0" xfId="5" applyAlignment="1">
      <alignment wrapText="1"/>
    </xf>
    <xf numFmtId="0" fontId="28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72" fontId="14" fillId="0" borderId="0" xfId="5" applyNumberFormat="1" applyFont="1" applyAlignment="1">
      <alignment horizontal="right" wrapText="1"/>
    </xf>
    <xf numFmtId="44" fontId="24" fillId="0" borderId="0" xfId="5" applyNumberFormat="1"/>
    <xf numFmtId="0" fontId="30" fillId="0" borderId="26" xfId="0" applyFont="1" applyBorder="1" applyAlignment="1">
      <alignment horizontal="center" wrapText="1"/>
    </xf>
    <xf numFmtId="0" fontId="31" fillId="0" borderId="0" xfId="0" applyFont="1" applyAlignment="1">
      <alignment horizontal="left" wrapText="1"/>
    </xf>
    <xf numFmtId="169" fontId="32" fillId="0" borderId="0" xfId="0" applyNumberFormat="1" applyFont="1" applyAlignment="1">
      <alignment wrapText="1"/>
    </xf>
    <xf numFmtId="169" fontId="32" fillId="0" borderId="0" xfId="0" applyNumberFormat="1" applyFont="1" applyAlignment="1">
      <alignment horizontal="right" wrapText="1"/>
    </xf>
    <xf numFmtId="168" fontId="31" fillId="0" borderId="7" xfId="0" applyNumberFormat="1" applyFont="1" applyBorder="1" applyAlignment="1">
      <alignment horizontal="right" wrapText="1"/>
    </xf>
    <xf numFmtId="169" fontId="7" fillId="0" borderId="0" xfId="0" applyNumberFormat="1" applyFont="1"/>
    <xf numFmtId="172" fontId="13" fillId="0" borderId="13" xfId="5" applyNumberFormat="1" applyFont="1" applyBorder="1" applyAlignment="1">
      <alignment horizontal="right" wrapText="1"/>
    </xf>
    <xf numFmtId="0" fontId="35" fillId="0" borderId="0" xfId="0" applyFont="1"/>
    <xf numFmtId="173" fontId="35" fillId="0" borderId="0" xfId="0" applyNumberFormat="1" applyFont="1" applyAlignment="1">
      <alignment horizontal="center"/>
    </xf>
    <xf numFmtId="173" fontId="0" fillId="0" borderId="0" xfId="0" applyNumberFormat="1"/>
    <xf numFmtId="173" fontId="35" fillId="0" borderId="19" xfId="0" applyNumberFormat="1" applyFont="1" applyBorder="1"/>
    <xf numFmtId="14" fontId="3" fillId="0" borderId="0" xfId="0" applyNumberFormat="1" applyFont="1"/>
    <xf numFmtId="169" fontId="14" fillId="0" borderId="26" xfId="0" applyNumberFormat="1" applyFont="1" applyBorder="1" applyAlignment="1">
      <alignment wrapText="1"/>
    </xf>
    <xf numFmtId="169" fontId="14" fillId="0" borderId="26" xfId="0" applyNumberFormat="1" applyFont="1" applyBorder="1" applyAlignment="1">
      <alignment horizontal="right" wrapText="1"/>
    </xf>
    <xf numFmtId="169" fontId="32" fillId="0" borderId="26" xfId="0" applyNumberFormat="1" applyFont="1" applyBorder="1" applyAlignment="1">
      <alignment horizontal="right" wrapText="1"/>
    </xf>
    <xf numFmtId="169" fontId="32" fillId="0" borderId="26" xfId="0" applyNumberFormat="1" applyFont="1" applyBorder="1" applyAlignment="1">
      <alignment wrapText="1"/>
    </xf>
    <xf numFmtId="40" fontId="14" fillId="0" borderId="26" xfId="0" applyNumberFormat="1" applyFont="1" applyBorder="1" applyAlignment="1">
      <alignment horizontal="right" wrapText="1"/>
    </xf>
    <xf numFmtId="0" fontId="13" fillId="4" borderId="0" xfId="0" applyFont="1" applyFill="1" applyAlignment="1">
      <alignment horizontal="left" wrapText="1"/>
    </xf>
    <xf numFmtId="0" fontId="29" fillId="5" borderId="0" xfId="6"/>
    <xf numFmtId="169" fontId="29" fillId="5" borderId="0" xfId="6" applyNumberFormat="1"/>
    <xf numFmtId="168" fontId="13" fillId="0" borderId="0" xfId="0" applyNumberFormat="1" applyFont="1" applyAlignment="1">
      <alignment horizontal="right" wrapText="1"/>
    </xf>
    <xf numFmtId="40" fontId="13" fillId="0" borderId="7" xfId="5" applyNumberFormat="1" applyFont="1" applyBorder="1" applyAlignment="1">
      <alignment horizontal="right" wrapText="1"/>
    </xf>
    <xf numFmtId="168" fontId="13" fillId="0" borderId="0" xfId="5" applyNumberFormat="1" applyFont="1" applyAlignment="1">
      <alignment horizontal="right" wrapText="1"/>
    </xf>
    <xf numFmtId="170" fontId="13" fillId="0" borderId="0" xfId="5" applyNumberFormat="1" applyFont="1" applyAlignment="1">
      <alignment horizontal="right" wrapText="1"/>
    </xf>
    <xf numFmtId="172" fontId="13" fillId="0" borderId="0" xfId="5" applyNumberFormat="1" applyFont="1" applyAlignment="1">
      <alignment horizontal="right" wrapText="1"/>
    </xf>
    <xf numFmtId="6" fontId="0" fillId="0" borderId="0" xfId="0" applyNumberFormat="1"/>
    <xf numFmtId="0" fontId="0" fillId="3" borderId="0" xfId="0" applyFill="1" applyAlignment="1">
      <alignment horizontal="center"/>
    </xf>
    <xf numFmtId="169" fontId="37" fillId="0" borderId="0" xfId="0" applyNumberFormat="1" applyFont="1" applyAlignment="1">
      <alignment wrapText="1"/>
    </xf>
    <xf numFmtId="169" fontId="37" fillId="0" borderId="0" xfId="0" applyNumberFormat="1" applyFont="1" applyAlignment="1">
      <alignment horizontal="right" wrapText="1"/>
    </xf>
    <xf numFmtId="169" fontId="7" fillId="0" borderId="0" xfId="0" applyNumberFormat="1" applyFont="1" applyAlignment="1">
      <alignment wrapText="1"/>
    </xf>
    <xf numFmtId="169" fontId="7" fillId="0" borderId="0" xfId="0" applyNumberFormat="1" applyFont="1" applyAlignment="1">
      <alignment horizontal="right" wrapText="1"/>
    </xf>
    <xf numFmtId="168" fontId="27" fillId="0" borderId="7" xfId="0" applyNumberFormat="1" applyFont="1" applyBorder="1" applyAlignment="1">
      <alignment horizontal="right" wrapText="1"/>
    </xf>
    <xf numFmtId="168" fontId="13" fillId="0" borderId="7" xfId="0" applyNumberFormat="1" applyFont="1" applyBorder="1" applyAlignment="1">
      <alignment horizontal="right" wrapText="1"/>
    </xf>
    <xf numFmtId="173" fontId="36" fillId="0" borderId="0" xfId="0" applyNumberFormat="1" applyFont="1"/>
    <xf numFmtId="0" fontId="0" fillId="0" borderId="0" xfId="0" applyAlignment="1">
      <alignment horizontal="left"/>
    </xf>
    <xf numFmtId="0" fontId="27" fillId="0" borderId="0" xfId="0" applyFont="1" applyAlignment="1">
      <alignment horizontal="left" wrapText="1"/>
    </xf>
    <xf numFmtId="0" fontId="6" fillId="0" borderId="26" xfId="0" applyFont="1" applyBorder="1" applyAlignment="1">
      <alignment horizontal="center" wrapText="1"/>
    </xf>
    <xf numFmtId="169" fontId="7" fillId="0" borderId="26" xfId="0" applyNumberFormat="1" applyFont="1" applyBorder="1" applyAlignment="1">
      <alignment horizontal="right" wrapText="1"/>
    </xf>
    <xf numFmtId="168" fontId="38" fillId="0" borderId="7" xfId="8" applyNumberFormat="1" applyFont="1" applyFill="1" applyBorder="1" applyAlignment="1">
      <alignment horizontal="right" wrapText="1"/>
    </xf>
    <xf numFmtId="169" fontId="38" fillId="0" borderId="0" xfId="7" applyNumberFormat="1" applyFont="1" applyFill="1" applyAlignment="1">
      <alignment horizontal="right" wrapText="1"/>
    </xf>
    <xf numFmtId="169" fontId="29" fillId="5" borderId="0" xfId="6" applyNumberFormat="1" applyAlignment="1">
      <alignment horizontal="right" wrapText="1"/>
    </xf>
    <xf numFmtId="168" fontId="38" fillId="0" borderId="7" xfId="6" applyNumberFormat="1" applyFont="1" applyFill="1" applyBorder="1" applyAlignment="1">
      <alignment horizontal="right" wrapText="1"/>
    </xf>
    <xf numFmtId="0" fontId="0" fillId="0" borderId="0" xfId="0" applyAlignment="1">
      <alignment horizontal="centerContinuous"/>
    </xf>
    <xf numFmtId="169" fontId="42" fillId="0" borderId="0" xfId="0" applyNumberFormat="1" applyFont="1" applyAlignment="1">
      <alignment horizontal="right" wrapText="1"/>
    </xf>
    <xf numFmtId="169" fontId="38" fillId="0" borderId="0" xfId="6" applyNumberFormat="1" applyFont="1" applyFill="1" applyAlignment="1">
      <alignment horizontal="right" wrapText="1"/>
    </xf>
    <xf numFmtId="174" fontId="2" fillId="0" borderId="0" xfId="0" applyNumberFormat="1" applyFont="1"/>
    <xf numFmtId="175" fontId="2" fillId="0" borderId="0" xfId="0" applyNumberFormat="1" applyFont="1"/>
    <xf numFmtId="176" fontId="0" fillId="0" borderId="0" xfId="0" applyNumberFormat="1"/>
    <xf numFmtId="174" fontId="3" fillId="0" borderId="0" xfId="0" applyNumberFormat="1" applyFont="1" applyAlignment="1">
      <alignment horizontal="right"/>
    </xf>
    <xf numFmtId="175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73" fontId="3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left"/>
    </xf>
    <xf numFmtId="3" fontId="43" fillId="0" borderId="0" xfId="0" applyNumberFormat="1" applyFont="1" applyAlignment="1">
      <alignment horizontal="right"/>
    </xf>
    <xf numFmtId="174" fontId="0" fillId="0" borderId="0" xfId="0" applyNumberFormat="1"/>
    <xf numFmtId="175" fontId="0" fillId="0" borderId="0" xfId="0" applyNumberFormat="1"/>
    <xf numFmtId="173" fontId="0" fillId="0" borderId="0" xfId="0" applyNumberFormat="1" applyAlignment="1">
      <alignment horizontal="right"/>
    </xf>
    <xf numFmtId="176" fontId="3" fillId="0" borderId="0" xfId="0" applyNumberFormat="1" applyFont="1"/>
    <xf numFmtId="9" fontId="43" fillId="0" borderId="0" xfId="0" applyNumberFormat="1" applyFont="1" applyAlignment="1">
      <alignment horizontal="right"/>
    </xf>
    <xf numFmtId="176" fontId="43" fillId="0" borderId="0" xfId="0" applyNumberFormat="1" applyFont="1"/>
    <xf numFmtId="173" fontId="0" fillId="0" borderId="7" xfId="0" applyNumberFormat="1" applyBorder="1"/>
    <xf numFmtId="173" fontId="0" fillId="0" borderId="19" xfId="0" applyNumberFormat="1" applyBorder="1"/>
    <xf numFmtId="173" fontId="44" fillId="0" borderId="0" xfId="0" applyNumberFormat="1" applyFont="1"/>
    <xf numFmtId="173" fontId="0" fillId="4" borderId="0" xfId="0" applyNumberFormat="1" applyFill="1"/>
    <xf numFmtId="0" fontId="0" fillId="0" borderId="19" xfId="0" applyBorder="1"/>
    <xf numFmtId="0" fontId="3" fillId="0" borderId="19" xfId="0" applyFont="1" applyBorder="1"/>
    <xf numFmtId="0" fontId="2" fillId="0" borderId="0" xfId="0" applyFont="1" applyAlignment="1">
      <alignment horizontal="center"/>
    </xf>
    <xf numFmtId="0" fontId="4" fillId="0" borderId="3" xfId="0" applyFont="1" applyBorder="1"/>
    <xf numFmtId="38" fontId="6" fillId="0" borderId="2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69" fontId="45" fillId="0" borderId="0" xfId="0" applyNumberFormat="1" applyFont="1" applyAlignment="1">
      <alignment wrapText="1"/>
    </xf>
    <xf numFmtId="0" fontId="46" fillId="0" borderId="0" xfId="0" applyFont="1" applyAlignment="1">
      <alignment horizontal="left" wrapText="1"/>
    </xf>
    <xf numFmtId="0" fontId="36" fillId="0" borderId="0" xfId="0" applyFont="1"/>
    <xf numFmtId="169" fontId="45" fillId="0" borderId="0" xfId="0" applyNumberFormat="1" applyFont="1" applyAlignment="1">
      <alignment horizontal="right" wrapText="1"/>
    </xf>
    <xf numFmtId="168" fontId="29" fillId="5" borderId="7" xfId="6" applyNumberFormat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71" fontId="4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38" fontId="6" fillId="0" borderId="0" xfId="0" applyNumberFormat="1" applyFont="1" applyAlignment="1">
      <alignment horizontal="center"/>
    </xf>
    <xf numFmtId="171" fontId="47" fillId="0" borderId="0" xfId="0" applyNumberFormat="1" applyFont="1" applyAlignment="1">
      <alignment horizontal="center"/>
    </xf>
    <xf numFmtId="0" fontId="4" fillId="0" borderId="30" xfId="0" applyFont="1" applyBorder="1"/>
    <xf numFmtId="3" fontId="3" fillId="0" borderId="0" xfId="0" applyNumberFormat="1" applyFont="1"/>
    <xf numFmtId="9" fontId="0" fillId="0" borderId="0" xfId="0" applyNumberFormat="1"/>
    <xf numFmtId="0" fontId="48" fillId="0" borderId="0" xfId="0" applyFont="1" applyAlignment="1">
      <alignment horizontal="left" wrapText="1"/>
    </xf>
    <xf numFmtId="169" fontId="45" fillId="4" borderId="0" xfId="0" applyNumberFormat="1" applyFont="1" applyFill="1" applyAlignment="1">
      <alignment horizontal="right" wrapText="1"/>
    </xf>
    <xf numFmtId="0" fontId="3" fillId="0" borderId="0" xfId="0" applyFont="1" applyAlignment="1">
      <alignment horizontal="left"/>
    </xf>
    <xf numFmtId="169" fontId="29" fillId="0" borderId="0" xfId="6" applyNumberFormat="1" applyFill="1" applyBorder="1" applyAlignment="1">
      <alignment horizontal="right" wrapText="1"/>
    </xf>
    <xf numFmtId="0" fontId="49" fillId="0" borderId="26" xfId="0" applyFont="1" applyBorder="1" applyAlignment="1">
      <alignment horizontal="center" wrapText="1"/>
    </xf>
    <xf numFmtId="168" fontId="46" fillId="0" borderId="7" xfId="0" applyNumberFormat="1" applyFont="1" applyBorder="1" applyAlignment="1">
      <alignment horizontal="right" wrapText="1"/>
    </xf>
    <xf numFmtId="168" fontId="13" fillId="0" borderId="7" xfId="5" applyNumberFormat="1" applyFont="1" applyBorder="1" applyAlignment="1">
      <alignment horizontal="right" wrapText="1"/>
    </xf>
    <xf numFmtId="170" fontId="13" fillId="0" borderId="7" xfId="5" applyNumberFormat="1" applyFont="1" applyBorder="1" applyAlignment="1">
      <alignment horizontal="right" wrapText="1"/>
    </xf>
    <xf numFmtId="172" fontId="13" fillId="0" borderId="7" xfId="5" applyNumberFormat="1" applyFont="1" applyBorder="1" applyAlignment="1">
      <alignment horizontal="right" wrapText="1"/>
    </xf>
    <xf numFmtId="0" fontId="50" fillId="0" borderId="0" xfId="0" applyFont="1"/>
    <xf numFmtId="173" fontId="50" fillId="0" borderId="0" xfId="0" applyNumberFormat="1" applyFont="1"/>
    <xf numFmtId="4" fontId="50" fillId="0" borderId="0" xfId="0" applyNumberFormat="1" applyFont="1"/>
    <xf numFmtId="1" fontId="50" fillId="0" borderId="0" xfId="0" applyNumberFormat="1" applyFont="1"/>
    <xf numFmtId="168" fontId="31" fillId="0" borderId="0" xfId="0" applyNumberFormat="1" applyFont="1" applyAlignment="1">
      <alignment horizontal="right" wrapText="1"/>
    </xf>
    <xf numFmtId="168" fontId="14" fillId="0" borderId="0" xfId="0" applyNumberFormat="1" applyFont="1" applyAlignment="1">
      <alignment horizontal="right" wrapText="1"/>
    </xf>
    <xf numFmtId="17" fontId="0" fillId="0" borderId="0" xfId="0" applyNumberFormat="1"/>
    <xf numFmtId="0" fontId="27" fillId="4" borderId="0" xfId="0" applyFont="1" applyFill="1" applyAlignment="1">
      <alignment horizontal="left" wrapText="1"/>
    </xf>
    <xf numFmtId="168" fontId="27" fillId="4" borderId="7" xfId="0" applyNumberFormat="1" applyFont="1" applyFill="1" applyBorder="1" applyAlignment="1">
      <alignment horizontal="right" wrapText="1"/>
    </xf>
    <xf numFmtId="168" fontId="31" fillId="4" borderId="7" xfId="0" applyNumberFormat="1" applyFont="1" applyFill="1" applyBorder="1" applyAlignment="1">
      <alignment horizontal="right" wrapText="1"/>
    </xf>
    <xf numFmtId="168" fontId="38" fillId="4" borderId="7" xfId="6" applyNumberFormat="1" applyFont="1" applyFill="1" applyBorder="1" applyAlignment="1">
      <alignment horizontal="right" wrapText="1"/>
    </xf>
    <xf numFmtId="0" fontId="0" fillId="4" borderId="0" xfId="0" applyFill="1"/>
    <xf numFmtId="40" fontId="45" fillId="0" borderId="0" xfId="0" applyNumberFormat="1" applyFont="1" applyAlignment="1">
      <alignment horizontal="right" wrapText="1"/>
    </xf>
    <xf numFmtId="168" fontId="46" fillId="0" borderId="13" xfId="0" applyNumberFormat="1" applyFont="1" applyBorder="1" applyAlignment="1">
      <alignment horizontal="right" wrapText="1"/>
    </xf>
    <xf numFmtId="170" fontId="46" fillId="0" borderId="13" xfId="0" applyNumberFormat="1" applyFont="1" applyBorder="1" applyAlignment="1">
      <alignment horizontal="right" wrapText="1"/>
    </xf>
    <xf numFmtId="0" fontId="5" fillId="0" borderId="0" xfId="5" applyFont="1" applyAlignment="1">
      <alignment horizontal="left" wrapText="1"/>
    </xf>
    <xf numFmtId="169" fontId="46" fillId="0" borderId="0" xfId="0" applyNumberFormat="1" applyFont="1" applyAlignment="1">
      <alignment wrapText="1"/>
    </xf>
    <xf numFmtId="169" fontId="46" fillId="0" borderId="7" xfId="0" applyNumberFormat="1" applyFont="1" applyBorder="1" applyAlignment="1">
      <alignment horizontal="right" wrapText="1"/>
    </xf>
    <xf numFmtId="168" fontId="46" fillId="0" borderId="31" xfId="0" applyNumberFormat="1" applyFont="1" applyBorder="1" applyAlignment="1">
      <alignment horizontal="right" wrapText="1"/>
    </xf>
    <xf numFmtId="168" fontId="13" fillId="0" borderId="31" xfId="0" applyNumberFormat="1" applyFont="1" applyBorder="1" applyAlignment="1">
      <alignment horizontal="right" wrapText="1"/>
    </xf>
    <xf numFmtId="168" fontId="46" fillId="0" borderId="0" xfId="0" applyNumberFormat="1" applyFont="1" applyAlignment="1">
      <alignment horizontal="right" wrapText="1"/>
    </xf>
    <xf numFmtId="169" fontId="46" fillId="4" borderId="7" xfId="0" applyNumberFormat="1" applyFont="1" applyFill="1" applyBorder="1" applyAlignment="1">
      <alignment horizontal="right" wrapText="1"/>
    </xf>
    <xf numFmtId="168" fontId="46" fillId="4" borderId="7" xfId="0" applyNumberFormat="1" applyFont="1" applyFill="1" applyBorder="1" applyAlignment="1">
      <alignment horizontal="right" wrapText="1"/>
    </xf>
    <xf numFmtId="169" fontId="32" fillId="4" borderId="0" xfId="0" applyNumberFormat="1" applyFont="1" applyFill="1" applyAlignment="1">
      <alignment wrapText="1"/>
    </xf>
    <xf numFmtId="169" fontId="7" fillId="4" borderId="0" xfId="0" applyNumberFormat="1" applyFont="1" applyFill="1" applyAlignment="1">
      <alignment wrapText="1"/>
    </xf>
    <xf numFmtId="0" fontId="51" fillId="0" borderId="0" xfId="0" applyFont="1" applyAlignment="1">
      <alignment horizontal="left" wrapText="1"/>
    </xf>
    <xf numFmtId="169" fontId="52" fillId="0" borderId="0" xfId="0" applyNumberFormat="1" applyFont="1" applyAlignment="1">
      <alignment wrapText="1"/>
    </xf>
    <xf numFmtId="169" fontId="52" fillId="0" borderId="0" xfId="0" applyNumberFormat="1" applyFont="1" applyAlignment="1">
      <alignment horizontal="right" wrapText="1"/>
    </xf>
    <xf numFmtId="168" fontId="51" fillId="0" borderId="7" xfId="0" applyNumberFormat="1" applyFont="1" applyBorder="1" applyAlignment="1">
      <alignment horizontal="right" wrapText="1"/>
    </xf>
    <xf numFmtId="0" fontId="36" fillId="4" borderId="0" xfId="0" applyFont="1" applyFill="1"/>
    <xf numFmtId="0" fontId="3" fillId="8" borderId="0" xfId="0" applyFont="1" applyFill="1"/>
    <xf numFmtId="0" fontId="4" fillId="8" borderId="25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0" fontId="4" fillId="8" borderId="3" xfId="0" applyFont="1" applyFill="1" applyBorder="1" applyAlignment="1">
      <alignment horizontal="center"/>
    </xf>
    <xf numFmtId="0" fontId="4" fillId="8" borderId="3" xfId="0" applyFont="1" applyFill="1" applyBorder="1"/>
    <xf numFmtId="0" fontId="0" fillId="8" borderId="0" xfId="0" applyFill="1"/>
    <xf numFmtId="171" fontId="4" fillId="8" borderId="3" xfId="0" applyNumberFormat="1" applyFont="1" applyFill="1" applyBorder="1" applyAlignment="1">
      <alignment horizontal="center"/>
    </xf>
    <xf numFmtId="9" fontId="4" fillId="8" borderId="3" xfId="4" applyFont="1" applyFill="1" applyBorder="1" applyAlignment="1">
      <alignment horizontal="center"/>
    </xf>
    <xf numFmtId="38" fontId="0" fillId="8" borderId="0" xfId="0" applyNumberFormat="1" applyFill="1"/>
    <xf numFmtId="38" fontId="4" fillId="8" borderId="3" xfId="0" applyNumberFormat="1" applyFont="1" applyFill="1" applyBorder="1" applyAlignment="1">
      <alignment horizontal="center"/>
    </xf>
    <xf numFmtId="38" fontId="6" fillId="8" borderId="24" xfId="0" applyNumberFormat="1" applyFont="1" applyFill="1" applyBorder="1" applyAlignment="1">
      <alignment horizontal="center"/>
    </xf>
    <xf numFmtId="9" fontId="6" fillId="8" borderId="4" xfId="4" applyFont="1" applyFill="1" applyBorder="1" applyAlignment="1">
      <alignment horizontal="right"/>
    </xf>
    <xf numFmtId="38" fontId="3" fillId="8" borderId="0" xfId="0" applyNumberFormat="1" applyFont="1" applyFill="1" applyAlignment="1">
      <alignment horizontal="center"/>
    </xf>
    <xf numFmtId="38" fontId="4" fillId="8" borderId="3" xfId="0" applyNumberFormat="1" applyFont="1" applyFill="1" applyBorder="1"/>
    <xf numFmtId="38" fontId="6" fillId="8" borderId="4" xfId="0" applyNumberFormat="1" applyFont="1" applyFill="1" applyBorder="1" applyAlignment="1">
      <alignment horizontal="center"/>
    </xf>
    <xf numFmtId="38" fontId="6" fillId="8" borderId="3" xfId="0" applyNumberFormat="1" applyFont="1" applyFill="1" applyBorder="1" applyAlignment="1">
      <alignment horizontal="center"/>
    </xf>
    <xf numFmtId="0" fontId="4" fillId="8" borderId="5" xfId="0" applyFont="1" applyFill="1" applyBorder="1"/>
    <xf numFmtId="0" fontId="6" fillId="0" borderId="25" xfId="0" applyFont="1" applyBorder="1" applyAlignment="1">
      <alignment horizontal="center" vertical="center" wrapText="1"/>
    </xf>
    <xf numFmtId="0" fontId="53" fillId="0" borderId="0" xfId="5" applyFont="1"/>
    <xf numFmtId="0" fontId="6" fillId="0" borderId="3" xfId="0" applyFont="1" applyBorder="1" applyAlignment="1">
      <alignment horizontal="center"/>
    </xf>
    <xf numFmtId="171" fontId="6" fillId="0" borderId="3" xfId="0" applyNumberFormat="1" applyFont="1" applyBorder="1" applyAlignment="1">
      <alignment horizontal="center"/>
    </xf>
    <xf numFmtId="0" fontId="6" fillId="0" borderId="5" xfId="0" applyFont="1" applyBorder="1"/>
    <xf numFmtId="0" fontId="7" fillId="9" borderId="25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/>
    </xf>
    <xf numFmtId="171" fontId="4" fillId="9" borderId="3" xfId="0" applyNumberFormat="1" applyFont="1" applyFill="1" applyBorder="1" applyAlignment="1">
      <alignment horizontal="center"/>
    </xf>
    <xf numFmtId="38" fontId="4" fillId="9" borderId="3" xfId="0" applyNumberFormat="1" applyFont="1" applyFill="1" applyBorder="1" applyAlignment="1">
      <alignment horizontal="center"/>
    </xf>
    <xf numFmtId="38" fontId="6" fillId="9" borderId="29" xfId="0" applyNumberFormat="1" applyFont="1" applyFill="1" applyBorder="1" applyAlignment="1">
      <alignment horizontal="center"/>
    </xf>
    <xf numFmtId="38" fontId="6" fillId="9" borderId="4" xfId="0" applyNumberFormat="1" applyFont="1" applyFill="1" applyBorder="1" applyAlignment="1">
      <alignment horizontal="center"/>
    </xf>
    <xf numFmtId="38" fontId="6" fillId="9" borderId="3" xfId="0" applyNumberFormat="1" applyFont="1" applyFill="1" applyBorder="1" applyAlignment="1">
      <alignment horizontal="center"/>
    </xf>
    <xf numFmtId="0" fontId="4" fillId="9" borderId="30" xfId="0" applyFont="1" applyFill="1" applyBorder="1"/>
    <xf numFmtId="3" fontId="24" fillId="0" borderId="0" xfId="5" applyNumberFormat="1"/>
    <xf numFmtId="0" fontId="3" fillId="8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0" fillId="0" borderId="0" xfId="0"/>
    <xf numFmtId="0" fontId="11" fillId="0" borderId="0" xfId="0" applyFont="1" applyAlignment="1">
      <alignment horizontal="center"/>
    </xf>
    <xf numFmtId="0" fontId="14" fillId="0" borderId="0" xfId="5" applyFont="1" applyAlignment="1">
      <alignment horizontal="center"/>
    </xf>
    <xf numFmtId="0" fontId="24" fillId="0" borderId="0" xfId="5"/>
    <xf numFmtId="0" fontId="12" fillId="0" borderId="0" xfId="5" applyFont="1" applyAlignment="1">
      <alignment horizontal="center"/>
    </xf>
    <xf numFmtId="0" fontId="11" fillId="0" borderId="0" xfId="5" applyFont="1" applyAlignment="1">
      <alignment horizontal="center"/>
    </xf>
    <xf numFmtId="0" fontId="12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54" fillId="0" borderId="0" xfId="5" applyFont="1"/>
    <xf numFmtId="0" fontId="54" fillId="0" borderId="0" xfId="5" applyFont="1" applyAlignment="1">
      <alignment wrapText="1"/>
    </xf>
    <xf numFmtId="0" fontId="55" fillId="0" borderId="19" xfId="3" applyFont="1" applyBorder="1"/>
    <xf numFmtId="3" fontId="55" fillId="0" borderId="19" xfId="3" applyNumberFormat="1" applyFont="1" applyBorder="1" applyAlignment="1">
      <alignment horizontal="center" wrapText="1"/>
    </xf>
    <xf numFmtId="0" fontId="55" fillId="0" borderId="19" xfId="3" applyFont="1" applyBorder="1" applyAlignment="1">
      <alignment horizontal="center" wrapText="1"/>
    </xf>
    <xf numFmtId="0" fontId="54" fillId="0" borderId="0" xfId="5" applyFont="1" applyAlignment="1">
      <alignment horizontal="center" wrapText="1"/>
    </xf>
    <xf numFmtId="0" fontId="55" fillId="0" borderId="0" xfId="3" applyFont="1"/>
    <xf numFmtId="3" fontId="55" fillId="0" borderId="0" xfId="3" applyNumberFormat="1" applyFont="1" applyAlignment="1">
      <alignment horizontal="center" wrapText="1"/>
    </xf>
    <xf numFmtId="0" fontId="55" fillId="0" borderId="0" xfId="3" applyFont="1" applyAlignment="1">
      <alignment horizontal="center" wrapText="1"/>
    </xf>
    <xf numFmtId="3" fontId="56" fillId="0" borderId="0" xfId="3" applyNumberFormat="1" applyFont="1"/>
    <xf numFmtId="3" fontId="56" fillId="0" borderId="19" xfId="3" applyNumberFormat="1" applyFont="1" applyBorder="1"/>
  </cellXfs>
  <cellStyles count="10">
    <cellStyle name="Bad" xfId="6" builtinId="27"/>
    <cellStyle name="Excel_BuiltIn_Input" xfId="1" xr:uid="{00000000-0005-0000-0000-000000000000}"/>
    <cellStyle name="Good" xfId="8" builtinId="26"/>
    <cellStyle name="Neutral" xfId="7" builtinId="28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00000000-0005-0000-0000-000004000000}"/>
    <cellStyle name="Normal 5" xfId="9" xr:uid="{226BF24B-63B3-491A-BB91-EA702D925672}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F81BD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Dickson" id="{3065AEAF-0E67-40A7-A85E-0795EBB0CAB3}" userId="5dfd686a4e56139a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5" dT="2021-01-25T13:27:38.72" personId="{3065AEAF-0E67-40A7-A85E-0795EBB0CAB3}" id="{77426103-B555-4EBC-8383-52DB4893D464}">
    <text>provision for repairs and maintenance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6" dT="2021-05-06T10:22:05.40" personId="{3065AEAF-0E67-40A7-A85E-0795EBB0CAB3}" id="{2B0B2B8E-B576-4C62-A131-81331ADC8B81}">
    <text>The balance Bumpz to Babez moved to Youthwork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20" dT="2021-10-29T09:49:22.86" personId="{3065AEAF-0E67-40A7-A85E-0795EBB0CAB3}" id="{48534462-DFA6-444E-B985-BA47D1D38B0C}">
    <text>invoice for £1196.10 raised and paid in October</text>
  </threadedComment>
  <threadedComment ref="B30" dT="2021-05-06T10:22:34.61" personId="{3065AEAF-0E67-40A7-A85E-0795EBB0CAB3}" id="{1F5F4206-21B5-4FE7-88CE-52A2846F2279}">
    <text>Balance Byumpz to Babez moved to Youthwork for purchasing the screen</text>
  </threadedComment>
</ThreadedComment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workbookViewId="0">
      <selection activeCell="C3" sqref="C3"/>
    </sheetView>
  </sheetViews>
  <sheetFormatPr defaultRowHeight="12.75" x14ac:dyDescent="0.2"/>
  <cols>
    <col min="1" max="1" width="19" customWidth="1"/>
    <col min="3" max="3" width="10.140625" bestFit="1" customWidth="1"/>
    <col min="9" max="9" width="10.140625" bestFit="1" customWidth="1"/>
  </cols>
  <sheetData>
    <row r="1" spans="1:10" x14ac:dyDescent="0.2">
      <c r="I1" s="97">
        <v>42551</v>
      </c>
      <c r="J1" s="98" t="s">
        <v>269</v>
      </c>
    </row>
    <row r="2" spans="1:10" x14ac:dyDescent="0.2">
      <c r="A2" t="s">
        <v>265</v>
      </c>
      <c r="C2" s="95">
        <v>45138</v>
      </c>
      <c r="I2" s="97">
        <v>42643</v>
      </c>
      <c r="J2" s="99" t="s">
        <v>268</v>
      </c>
    </row>
    <row r="3" spans="1:10" x14ac:dyDescent="0.2">
      <c r="I3" s="97">
        <v>42735</v>
      </c>
      <c r="J3" s="99" t="s">
        <v>267</v>
      </c>
    </row>
    <row r="4" spans="1:10" x14ac:dyDescent="0.2">
      <c r="A4" t="s">
        <v>266</v>
      </c>
      <c r="I4" s="97">
        <v>42825</v>
      </c>
      <c r="J4" s="99" t="s">
        <v>281</v>
      </c>
    </row>
    <row r="5" spans="1:10" x14ac:dyDescent="0.2">
      <c r="I5" s="97">
        <v>43190</v>
      </c>
      <c r="J5" s="99" t="s">
        <v>344</v>
      </c>
    </row>
    <row r="6" spans="1:10" x14ac:dyDescent="0.2">
      <c r="A6" t="s">
        <v>50</v>
      </c>
      <c r="C6" t="s">
        <v>325</v>
      </c>
      <c r="I6" s="96">
        <v>43373</v>
      </c>
      <c r="J6" s="99" t="s">
        <v>356</v>
      </c>
    </row>
    <row r="7" spans="1:10" x14ac:dyDescent="0.2">
      <c r="J7" s="158" t="s">
        <v>355</v>
      </c>
    </row>
    <row r="8" spans="1:10" x14ac:dyDescent="0.2">
      <c r="A8" t="s">
        <v>127</v>
      </c>
      <c r="C8" t="s">
        <v>272</v>
      </c>
    </row>
    <row r="10" spans="1:10" x14ac:dyDescent="0.2">
      <c r="A10" t="s">
        <v>194</v>
      </c>
      <c r="C10" t="s">
        <v>273</v>
      </c>
    </row>
    <row r="24" spans="3:3" x14ac:dyDescent="0.2">
      <c r="C24" s="96">
        <v>43190</v>
      </c>
    </row>
    <row r="25" spans="3:3" x14ac:dyDescent="0.2">
      <c r="C25" s="96">
        <v>43281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K71"/>
  <sheetViews>
    <sheetView workbookViewId="0">
      <selection activeCell="H40" sqref="H40"/>
    </sheetView>
  </sheetViews>
  <sheetFormatPr defaultRowHeight="12.75" x14ac:dyDescent="0.2"/>
  <cols>
    <col min="1" max="1" width="29.5703125" customWidth="1"/>
    <col min="2" max="2" width="22" customWidth="1"/>
    <col min="3" max="3" width="19.140625" customWidth="1"/>
    <col min="4" max="4" width="18.7109375" customWidth="1"/>
    <col min="8" max="8" width="41.140625" customWidth="1"/>
    <col min="9" max="9" width="9.85546875" customWidth="1"/>
    <col min="11" max="11" width="10.5703125" customWidth="1"/>
  </cols>
  <sheetData>
    <row r="1" spans="1:11" ht="18" x14ac:dyDescent="0.25">
      <c r="A1" s="311" t="s">
        <v>0</v>
      </c>
      <c r="B1" s="298"/>
      <c r="C1" s="298"/>
      <c r="D1" s="298"/>
      <c r="E1" s="91"/>
      <c r="F1" s="91"/>
      <c r="G1" s="91"/>
      <c r="H1" s="91"/>
      <c r="I1" s="91"/>
      <c r="J1" s="91"/>
      <c r="K1" s="91"/>
    </row>
    <row r="2" spans="1:11" ht="18" x14ac:dyDescent="0.25">
      <c r="A2" s="311" t="s">
        <v>241</v>
      </c>
      <c r="B2" s="298"/>
      <c r="C2" s="298"/>
      <c r="D2" s="298"/>
    </row>
    <row r="3" spans="1:11" x14ac:dyDescent="0.2">
      <c r="A3" s="299" t="s">
        <v>493</v>
      </c>
      <c r="B3" s="299"/>
      <c r="C3" s="299"/>
      <c r="D3" s="299"/>
    </row>
    <row r="5" spans="1:11" x14ac:dyDescent="0.2">
      <c r="A5" s="17"/>
      <c r="B5" s="34" t="s">
        <v>60</v>
      </c>
      <c r="C5" s="34" t="s">
        <v>79</v>
      </c>
      <c r="D5" s="34" t="s">
        <v>126</v>
      </c>
    </row>
    <row r="6" spans="1:11" ht="12.75" customHeight="1" x14ac:dyDescent="0.2">
      <c r="A6" s="35" t="s">
        <v>2</v>
      </c>
      <c r="B6" s="36"/>
      <c r="C6" s="204"/>
      <c r="D6" s="37">
        <v>0</v>
      </c>
    </row>
    <row r="7" spans="1:11" ht="12.75" customHeight="1" x14ac:dyDescent="0.2">
      <c r="A7" s="35" t="s">
        <v>242</v>
      </c>
      <c r="B7" s="36"/>
      <c r="C7" s="204"/>
      <c r="D7" s="37">
        <v>0</v>
      </c>
    </row>
    <row r="8" spans="1:11" ht="12.75" customHeight="1" x14ac:dyDescent="0.2">
      <c r="A8" s="35" t="s">
        <v>243</v>
      </c>
      <c r="B8" s="37">
        <v>0</v>
      </c>
      <c r="C8" s="240">
        <v>0</v>
      </c>
      <c r="D8" s="145">
        <f t="shared" ref="D8:D13" si="0">B8+C8</f>
        <v>0</v>
      </c>
    </row>
    <row r="9" spans="1:11" ht="12.75" customHeight="1" x14ac:dyDescent="0.2">
      <c r="A9" s="35" t="s">
        <v>244</v>
      </c>
      <c r="B9" s="39">
        <f>B7+B8</f>
        <v>0</v>
      </c>
      <c r="C9" s="241">
        <f>C7+C8</f>
        <v>0</v>
      </c>
      <c r="D9" s="39">
        <f t="shared" si="0"/>
        <v>0</v>
      </c>
    </row>
    <row r="10" spans="1:11" ht="12.75" customHeight="1" x14ac:dyDescent="0.2">
      <c r="A10" s="35" t="s">
        <v>245</v>
      </c>
      <c r="B10" s="36">
        <v>0</v>
      </c>
      <c r="C10" s="207">
        <v>0</v>
      </c>
      <c r="D10" s="37">
        <f t="shared" si="0"/>
        <v>0</v>
      </c>
    </row>
    <row r="11" spans="1:11" ht="12.75" customHeight="1" x14ac:dyDescent="0.2">
      <c r="A11" s="35" t="s">
        <v>246</v>
      </c>
      <c r="B11" s="36"/>
      <c r="C11" s="204"/>
      <c r="D11" s="37">
        <f t="shared" si="0"/>
        <v>0</v>
      </c>
    </row>
    <row r="12" spans="1:11" ht="12.75" customHeight="1" x14ac:dyDescent="0.2">
      <c r="A12" s="35" t="s">
        <v>274</v>
      </c>
      <c r="B12" s="37">
        <v>0</v>
      </c>
      <c r="C12" s="240">
        <v>0</v>
      </c>
      <c r="D12" s="145">
        <f t="shared" si="0"/>
        <v>0</v>
      </c>
    </row>
    <row r="13" spans="1:11" ht="12.75" customHeight="1" x14ac:dyDescent="0.2">
      <c r="A13" s="35" t="s">
        <v>275</v>
      </c>
      <c r="B13" s="39">
        <f>B11+B12</f>
        <v>0</v>
      </c>
      <c r="C13" s="241">
        <f>C11+C12+C10</f>
        <v>0</v>
      </c>
      <c r="D13" s="152">
        <f t="shared" si="0"/>
        <v>0</v>
      </c>
    </row>
    <row r="14" spans="1:11" ht="12.75" customHeight="1" x14ac:dyDescent="0.2">
      <c r="A14" s="35" t="s">
        <v>247</v>
      </c>
      <c r="B14" s="36"/>
      <c r="C14" s="204"/>
      <c r="D14" s="37">
        <v>0</v>
      </c>
    </row>
    <row r="15" spans="1:11" ht="12.75" customHeight="1" x14ac:dyDescent="0.2">
      <c r="A15" s="35" t="s">
        <v>254</v>
      </c>
      <c r="B15" s="37">
        <v>0</v>
      </c>
      <c r="C15" s="240">
        <v>-3577.69</v>
      </c>
      <c r="D15" s="37">
        <f>B15+C15</f>
        <v>-3577.69</v>
      </c>
    </row>
    <row r="16" spans="1:11" ht="12.75" customHeight="1" x14ac:dyDescent="0.2">
      <c r="A16" s="35" t="s">
        <v>248</v>
      </c>
      <c r="B16" s="36">
        <v>0</v>
      </c>
      <c r="C16" s="240">
        <v>0</v>
      </c>
      <c r="D16" s="145">
        <f>B16+C16</f>
        <v>0</v>
      </c>
    </row>
    <row r="17" spans="1:4" ht="12.75" customHeight="1" x14ac:dyDescent="0.2">
      <c r="A17" s="35" t="s">
        <v>249</v>
      </c>
      <c r="B17" s="39">
        <f>B15+B16</f>
        <v>0</v>
      </c>
      <c r="C17" s="241">
        <f>C15+C16</f>
        <v>-3577.69</v>
      </c>
      <c r="D17" s="152">
        <f>B17+C17</f>
        <v>-3577.69</v>
      </c>
    </row>
    <row r="18" spans="1:4" ht="12.75" customHeight="1" x14ac:dyDescent="0.2">
      <c r="A18" s="35" t="s">
        <v>24</v>
      </c>
      <c r="B18" s="37">
        <v>2000</v>
      </c>
      <c r="C18" s="240">
        <v>-600.03</v>
      </c>
      <c r="D18" s="37">
        <f>B18+C18</f>
        <v>1399.97</v>
      </c>
    </row>
    <row r="19" spans="1:4" ht="12.75" customHeight="1" x14ac:dyDescent="0.2">
      <c r="A19" s="35" t="s">
        <v>250</v>
      </c>
      <c r="B19" s="36"/>
      <c r="C19" s="204"/>
      <c r="D19" s="37">
        <v>0</v>
      </c>
    </row>
    <row r="20" spans="1:4" ht="12.75" customHeight="1" x14ac:dyDescent="0.2">
      <c r="A20" s="35" t="s">
        <v>251</v>
      </c>
      <c r="B20" s="37">
        <v>0</v>
      </c>
      <c r="C20" s="240">
        <v>0</v>
      </c>
      <c r="D20" s="145">
        <f>B20+C20</f>
        <v>0</v>
      </c>
    </row>
    <row r="21" spans="1:4" ht="12.75" customHeight="1" x14ac:dyDescent="0.2">
      <c r="A21" s="35" t="s">
        <v>252</v>
      </c>
      <c r="B21" s="39">
        <f>B19+B20</f>
        <v>0</v>
      </c>
      <c r="C21" s="241">
        <f>C19+C20</f>
        <v>0</v>
      </c>
      <c r="D21" s="152">
        <f>B21+C21</f>
        <v>0</v>
      </c>
    </row>
    <row r="22" spans="1:4" ht="12.75" hidden="1" customHeight="1" x14ac:dyDescent="0.2">
      <c r="A22" s="35" t="s">
        <v>255</v>
      </c>
      <c r="B22" s="37">
        <v>0</v>
      </c>
      <c r="C22" s="240">
        <v>0</v>
      </c>
      <c r="D22" s="37">
        <v>0</v>
      </c>
    </row>
    <row r="23" spans="1:4" ht="12.75" hidden="1" customHeight="1" x14ac:dyDescent="0.2">
      <c r="A23" s="35" t="s">
        <v>257</v>
      </c>
      <c r="B23" s="36"/>
      <c r="C23" s="204"/>
      <c r="D23" s="37"/>
    </row>
    <row r="24" spans="1:4" ht="12.75" hidden="1" customHeight="1" x14ac:dyDescent="0.2">
      <c r="A24" s="35" t="s">
        <v>258</v>
      </c>
      <c r="B24" s="36"/>
      <c r="C24" s="240">
        <v>0</v>
      </c>
      <c r="D24" s="148">
        <v>0</v>
      </c>
    </row>
    <row r="25" spans="1:4" ht="12.75" hidden="1" customHeight="1" x14ac:dyDescent="0.2">
      <c r="A25" s="35" t="s">
        <v>260</v>
      </c>
      <c r="B25" s="39">
        <f>B23+B24</f>
        <v>0</v>
      </c>
      <c r="C25" s="241">
        <f>C23+C24</f>
        <v>0</v>
      </c>
      <c r="D25" s="152">
        <f>B25+C25</f>
        <v>0</v>
      </c>
    </row>
    <row r="26" spans="1:4" ht="12.75" customHeight="1" x14ac:dyDescent="0.2">
      <c r="A26" s="35" t="s">
        <v>59</v>
      </c>
      <c r="B26" s="39">
        <f>B9+B13+B17+B18+B21+B25+B22</f>
        <v>2000</v>
      </c>
      <c r="C26" s="246">
        <f>C9+C13+C17+C18+C21+C25</f>
        <v>-4177.72</v>
      </c>
      <c r="D26" s="247">
        <f>D9+D13+D17+D18+D21+D25+D22</f>
        <v>-2177.7200000000003</v>
      </c>
    </row>
    <row r="27" spans="1:4" ht="12.75" customHeight="1" x14ac:dyDescent="0.2">
      <c r="A27" s="35"/>
      <c r="B27" s="164"/>
      <c r="C27" s="248"/>
      <c r="D27" s="152"/>
    </row>
    <row r="28" spans="1:4" ht="12.75" customHeight="1" x14ac:dyDescent="0.2">
      <c r="A28" s="35" t="s">
        <v>477</v>
      </c>
      <c r="B28" s="152">
        <v>0</v>
      </c>
      <c r="C28" s="248">
        <v>0</v>
      </c>
      <c r="D28" s="152">
        <f t="shared" ref="D28:D34" si="1">B28+C28</f>
        <v>0</v>
      </c>
    </row>
    <row r="29" spans="1:4" ht="12.75" customHeight="1" x14ac:dyDescent="0.2">
      <c r="A29" s="35" t="s">
        <v>416</v>
      </c>
      <c r="B29" s="37">
        <v>0</v>
      </c>
      <c r="C29" s="248">
        <v>0</v>
      </c>
      <c r="D29" s="152">
        <f t="shared" si="1"/>
        <v>0</v>
      </c>
    </row>
    <row r="30" spans="1:4" ht="12.75" customHeight="1" x14ac:dyDescent="0.2">
      <c r="A30" s="35" t="s">
        <v>494</v>
      </c>
      <c r="B30" s="164">
        <v>19.190000000000001</v>
      </c>
      <c r="C30" s="224">
        <v>-38.380000000000003</v>
      </c>
      <c r="D30" s="164">
        <f t="shared" si="1"/>
        <v>-19.190000000000001</v>
      </c>
    </row>
    <row r="31" spans="1:4" ht="12.75" customHeight="1" x14ac:dyDescent="0.2">
      <c r="A31" s="35" t="s">
        <v>486</v>
      </c>
      <c r="B31" s="37">
        <v>100</v>
      </c>
      <c r="C31" s="248">
        <v>-2439.42</v>
      </c>
      <c r="D31" s="152">
        <f t="shared" si="1"/>
        <v>-2339.42</v>
      </c>
    </row>
    <row r="32" spans="1:4" ht="12.75" customHeight="1" x14ac:dyDescent="0.2">
      <c r="A32" s="35" t="s">
        <v>453</v>
      </c>
      <c r="B32" s="37">
        <v>2325.2399999999998</v>
      </c>
      <c r="C32" s="248">
        <v>-794.89</v>
      </c>
      <c r="D32" s="152">
        <f t="shared" si="1"/>
        <v>1530.35</v>
      </c>
    </row>
    <row r="33" spans="1:4" ht="12.75" customHeight="1" x14ac:dyDescent="0.2">
      <c r="A33" s="35" t="s">
        <v>462</v>
      </c>
      <c r="B33" s="37">
        <v>158</v>
      </c>
      <c r="C33" s="248">
        <v>-744.23</v>
      </c>
      <c r="D33" s="152">
        <f t="shared" si="1"/>
        <v>-586.23</v>
      </c>
    </row>
    <row r="34" spans="1:4" ht="12.75" customHeight="1" x14ac:dyDescent="0.2">
      <c r="A34" s="35" t="s">
        <v>464</v>
      </c>
      <c r="B34" s="37">
        <v>3773.77</v>
      </c>
      <c r="C34" s="248">
        <v>-1788.31</v>
      </c>
      <c r="D34" s="152">
        <f t="shared" si="1"/>
        <v>1985.46</v>
      </c>
    </row>
    <row r="35" spans="1:4" ht="12.75" customHeight="1" x14ac:dyDescent="0.2">
      <c r="A35" s="35" t="s">
        <v>472</v>
      </c>
      <c r="B35" s="37">
        <v>0</v>
      </c>
      <c r="C35" s="248">
        <v>0</v>
      </c>
      <c r="D35" s="152">
        <f t="shared" ref="D35:D37" si="2">B35+C35</f>
        <v>0</v>
      </c>
    </row>
    <row r="36" spans="1:4" ht="12.75" customHeight="1" x14ac:dyDescent="0.2">
      <c r="A36" s="35" t="s">
        <v>487</v>
      </c>
      <c r="B36" s="37">
        <f>4+665.75</f>
        <v>669.75</v>
      </c>
      <c r="C36" s="248">
        <v>-85.02</v>
      </c>
      <c r="D36" s="152">
        <f t="shared" si="2"/>
        <v>584.73</v>
      </c>
    </row>
    <row r="37" spans="1:4" ht="12.75" customHeight="1" x14ac:dyDescent="0.2">
      <c r="A37" s="35" t="s">
        <v>473</v>
      </c>
      <c r="B37" s="37">
        <v>0</v>
      </c>
      <c r="C37" s="248">
        <v>0</v>
      </c>
      <c r="D37" s="152">
        <f t="shared" si="2"/>
        <v>0</v>
      </c>
    </row>
    <row r="38" spans="1:4" ht="12.75" customHeight="1" x14ac:dyDescent="0.2">
      <c r="A38" s="35"/>
      <c r="B38" s="164"/>
      <c r="C38" s="224"/>
      <c r="D38" s="164"/>
    </row>
    <row r="39" spans="1:4" ht="12.75" customHeight="1" x14ac:dyDescent="0.2">
      <c r="A39" s="35" t="s">
        <v>324</v>
      </c>
      <c r="B39" s="39">
        <f>B29+B26+B30+B32+B33+B34+B35+B37+B28+B31+B36</f>
        <v>9045.9500000000007</v>
      </c>
      <c r="C39" s="39">
        <f>C29+C26+C30+C32+C33+C34+C35+C37+C28+C31+C36</f>
        <v>-10067.970000000001</v>
      </c>
      <c r="D39" s="39">
        <f t="shared" ref="D39" si="3">D29+D26+D30+D32+D33+D34+D35+D37+D28+D31+D36</f>
        <v>-1022.0200000000004</v>
      </c>
    </row>
    <row r="40" spans="1:4" ht="12.75" customHeight="1" x14ac:dyDescent="0.2">
      <c r="A40" s="35" t="s">
        <v>277</v>
      </c>
      <c r="B40" s="39">
        <f>'Funds Analysis'!P32</f>
        <v>9995.8299999999981</v>
      </c>
      <c r="C40" s="242">
        <f>-'Funds Analysis'!P111</f>
        <v>-6877.8</v>
      </c>
      <c r="D40" s="39">
        <f>(B40)+(C40)</f>
        <v>3118.0299999999979</v>
      </c>
    </row>
    <row r="41" spans="1:4" ht="12.75" customHeight="1" x14ac:dyDescent="0.2">
      <c r="A41" s="35" t="s">
        <v>256</v>
      </c>
      <c r="B41" s="90">
        <f>B39-B40</f>
        <v>-949.87999999999738</v>
      </c>
      <c r="C41" s="241">
        <f>C39-C40</f>
        <v>-3190.170000000001</v>
      </c>
      <c r="D41" s="39">
        <f>(B41)+(C41)</f>
        <v>-4140.0499999999984</v>
      </c>
    </row>
    <row r="42" spans="1:4" ht="12.75" customHeight="1" x14ac:dyDescent="0.2">
      <c r="C42" s="206"/>
    </row>
    <row r="43" spans="1:4" ht="12.75" customHeight="1" x14ac:dyDescent="0.2">
      <c r="C43" s="206"/>
    </row>
    <row r="44" spans="1:4" ht="12.75" customHeight="1" x14ac:dyDescent="0.2">
      <c r="C44" s="206"/>
    </row>
    <row r="65" spans="1:6" x14ac:dyDescent="0.2">
      <c r="F65" s="18"/>
    </row>
    <row r="67" spans="1:6" x14ac:dyDescent="0.2">
      <c r="E67" s="18"/>
    </row>
    <row r="69" spans="1:6" x14ac:dyDescent="0.2">
      <c r="A69" s="307"/>
      <c r="B69" s="307"/>
      <c r="C69" s="307"/>
      <c r="D69" s="307"/>
    </row>
    <row r="71" spans="1:6" x14ac:dyDescent="0.2">
      <c r="A71" s="307"/>
      <c r="B71" s="307"/>
      <c r="C71" s="307"/>
      <c r="D71" s="307"/>
    </row>
  </sheetData>
  <sheetProtection selectLockedCells="1" selectUnlockedCells="1"/>
  <mergeCells count="5">
    <mergeCell ref="A71:D71"/>
    <mergeCell ref="A1:D1"/>
    <mergeCell ref="A2:D2"/>
    <mergeCell ref="A3:D3"/>
    <mergeCell ref="A69:D69"/>
  </mergeCells>
  <pageMargins left="0.7" right="0.7" top="0.75" bottom="0.75" header="0.51180555555555551" footer="0.51180555555555551"/>
  <pageSetup paperSize="9" scale="87" firstPageNumber="0" orientation="portrait" horizontalDpi="4294967293" verticalDpi="4294967293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9768C-0818-4B1B-8D5D-A0C5B0EAAA61}">
  <sheetPr>
    <tabColor rgb="FF92D050"/>
    <pageSetUpPr fitToPage="1"/>
  </sheetPr>
  <dimension ref="A1:D13"/>
  <sheetViews>
    <sheetView workbookViewId="0">
      <selection activeCell="G18" sqref="G18"/>
    </sheetView>
  </sheetViews>
  <sheetFormatPr defaultRowHeight="12.75" x14ac:dyDescent="0.2"/>
  <cols>
    <col min="2" max="2" width="49.85546875" bestFit="1" customWidth="1"/>
    <col min="4" max="4" width="12.7109375" bestFit="1" customWidth="1"/>
    <col min="6" max="6" width="10.140625" bestFit="1" customWidth="1"/>
  </cols>
  <sheetData>
    <row r="1" spans="1:4" ht="15" x14ac:dyDescent="0.25">
      <c r="A1" s="139"/>
      <c r="B1" s="139" t="s">
        <v>345</v>
      </c>
      <c r="C1" s="140" t="s">
        <v>7</v>
      </c>
      <c r="D1" s="96">
        <v>43921</v>
      </c>
    </row>
    <row r="2" spans="1:4" x14ac:dyDescent="0.2">
      <c r="C2" s="141"/>
    </row>
    <row r="3" spans="1:4" x14ac:dyDescent="0.2">
      <c r="C3" s="165"/>
    </row>
    <row r="4" spans="1:4" s="228" customFormat="1" ht="15" customHeight="1" x14ac:dyDescent="0.2">
      <c r="A4" s="228">
        <v>4130</v>
      </c>
      <c r="B4" s="228" t="s">
        <v>432</v>
      </c>
      <c r="C4" s="229">
        <v>600</v>
      </c>
      <c r="D4" s="230"/>
    </row>
    <row r="5" spans="1:4" s="228" customFormat="1" x14ac:dyDescent="0.2">
      <c r="A5" s="228">
        <v>4120</v>
      </c>
      <c r="B5" s="228" t="s">
        <v>434</v>
      </c>
      <c r="C5" s="229">
        <v>348.01</v>
      </c>
      <c r="D5" s="230" t="s">
        <v>435</v>
      </c>
    </row>
    <row r="6" spans="1:4" s="228" customFormat="1" x14ac:dyDescent="0.2">
      <c r="A6" s="228">
        <v>4110</v>
      </c>
      <c r="B6" s="228" t="s">
        <v>441</v>
      </c>
      <c r="C6" s="229">
        <v>8.01</v>
      </c>
      <c r="D6" s="231">
        <v>26315513</v>
      </c>
    </row>
    <row r="7" spans="1:4" s="228" customFormat="1" x14ac:dyDescent="0.2">
      <c r="A7" s="228">
        <v>8010</v>
      </c>
      <c r="B7" s="228" t="s">
        <v>433</v>
      </c>
      <c r="C7" s="229">
        <v>750</v>
      </c>
      <c r="D7" s="230"/>
    </row>
    <row r="8" spans="1:4" s="228" customFormat="1" x14ac:dyDescent="0.2">
      <c r="A8" s="228">
        <v>1500</v>
      </c>
      <c r="B8" s="228" t="s">
        <v>450</v>
      </c>
      <c r="C8" s="229">
        <v>-2956.21</v>
      </c>
      <c r="D8" s="230"/>
    </row>
    <row r="9" spans="1:4" s="228" customFormat="1" x14ac:dyDescent="0.2">
      <c r="A9" s="228">
        <v>4490</v>
      </c>
      <c r="B9" s="228" t="s">
        <v>457</v>
      </c>
      <c r="C9" s="229">
        <v>7000</v>
      </c>
      <c r="D9" s="230"/>
    </row>
    <row r="10" spans="1:4" s="228" customFormat="1" x14ac:dyDescent="0.2">
      <c r="A10" s="228">
        <v>4490</v>
      </c>
      <c r="B10" s="228" t="s">
        <v>459</v>
      </c>
      <c r="C10" s="229">
        <v>4000</v>
      </c>
      <c r="D10" s="230"/>
    </row>
    <row r="11" spans="1:4" x14ac:dyDescent="0.2">
      <c r="C11" s="141"/>
    </row>
    <row r="12" spans="1:4" ht="15.75" thickBot="1" x14ac:dyDescent="0.3">
      <c r="C12" s="142">
        <f>SUM(C3:C11)</f>
        <v>9749.81</v>
      </c>
    </row>
    <row r="13" spans="1:4" ht="13.5" thickTop="1" x14ac:dyDescent="0.2">
      <c r="C13" s="141"/>
    </row>
  </sheetData>
  <pageMargins left="0.7" right="0.7" top="0.75" bottom="0.75" header="0.3" footer="0.3"/>
  <pageSetup scale="85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0B37F-53B1-40E6-8332-7ADED64CC780}">
  <sheetPr>
    <tabColor rgb="FF92D050"/>
  </sheetPr>
  <dimension ref="A1:F15"/>
  <sheetViews>
    <sheetView topLeftCell="A7" workbookViewId="0">
      <selection activeCell="G18" sqref="G18"/>
    </sheetView>
  </sheetViews>
  <sheetFormatPr defaultRowHeight="12.75" x14ac:dyDescent="0.2"/>
  <cols>
    <col min="2" max="2" width="24.5703125" bestFit="1" customWidth="1"/>
    <col min="3" max="3" width="31.140625" customWidth="1"/>
    <col min="5" max="5" width="14.7109375" bestFit="1" customWidth="1"/>
    <col min="6" max="6" width="10.140625" bestFit="1" customWidth="1"/>
  </cols>
  <sheetData>
    <row r="1" spans="1:6" ht="15" x14ac:dyDescent="0.25">
      <c r="A1" s="139"/>
      <c r="B1" s="139" t="s">
        <v>346</v>
      </c>
      <c r="C1" s="139"/>
      <c r="D1" s="140" t="s">
        <v>7</v>
      </c>
      <c r="F1" s="143">
        <v>44286</v>
      </c>
    </row>
    <row r="2" spans="1:6" x14ac:dyDescent="0.2">
      <c r="D2" s="141"/>
      <c r="E2" s="4" t="s">
        <v>362</v>
      </c>
    </row>
    <row r="3" spans="1:6" x14ac:dyDescent="0.2">
      <c r="A3">
        <v>6070</v>
      </c>
      <c r="B3" t="s">
        <v>443</v>
      </c>
      <c r="D3" s="141">
        <f>(129/12)*11</f>
        <v>118.25</v>
      </c>
      <c r="E3" s="221" t="s">
        <v>444</v>
      </c>
    </row>
    <row r="4" spans="1:6" x14ac:dyDescent="0.2">
      <c r="A4">
        <v>6070</v>
      </c>
      <c r="B4" t="s">
        <v>439</v>
      </c>
      <c r="D4" s="141">
        <f>(96/12)*10.5</f>
        <v>84</v>
      </c>
      <c r="E4" s="221"/>
    </row>
    <row r="5" spans="1:6" x14ac:dyDescent="0.2">
      <c r="A5">
        <v>6010</v>
      </c>
      <c r="B5" t="s">
        <v>440</v>
      </c>
      <c r="D5" s="141">
        <f>(99/3)*2</f>
        <v>66</v>
      </c>
      <c r="E5" s="221">
        <v>1002489</v>
      </c>
    </row>
    <row r="6" spans="1:6" x14ac:dyDescent="0.2">
      <c r="A6">
        <v>6060</v>
      </c>
      <c r="B6" t="s">
        <v>442</v>
      </c>
      <c r="D6" s="141">
        <f>(300/12)*9</f>
        <v>225</v>
      </c>
      <c r="E6" s="221">
        <v>3598867</v>
      </c>
      <c r="F6" t="s">
        <v>24</v>
      </c>
    </row>
    <row r="7" spans="1:6" x14ac:dyDescent="0.2">
      <c r="A7">
        <v>6050</v>
      </c>
      <c r="B7" t="s">
        <v>449</v>
      </c>
      <c r="D7" s="141">
        <f>(125.14/12)*10</f>
        <v>104.28333333333333</v>
      </c>
      <c r="E7" s="4"/>
      <c r="F7" t="s">
        <v>24</v>
      </c>
    </row>
    <row r="8" spans="1:6" x14ac:dyDescent="0.2">
      <c r="A8">
        <v>6050</v>
      </c>
      <c r="B8" t="s">
        <v>436</v>
      </c>
      <c r="C8" t="s">
        <v>437</v>
      </c>
      <c r="D8" s="141">
        <f>(224.4/12)*5</f>
        <v>93.5</v>
      </c>
      <c r="E8" s="4" t="s">
        <v>438</v>
      </c>
    </row>
    <row r="9" spans="1:6" x14ac:dyDescent="0.2">
      <c r="A9">
        <v>4200</v>
      </c>
      <c r="B9" t="s">
        <v>446</v>
      </c>
      <c r="C9" t="s">
        <v>445</v>
      </c>
      <c r="D9" s="141">
        <v>75</v>
      </c>
      <c r="E9" s="4">
        <v>505739528</v>
      </c>
    </row>
    <row r="10" spans="1:6" x14ac:dyDescent="0.2">
      <c r="A10">
        <v>6010</v>
      </c>
      <c r="B10" t="s">
        <v>447</v>
      </c>
      <c r="D10" s="141">
        <v>14.39</v>
      </c>
      <c r="E10" s="4" t="s">
        <v>448</v>
      </c>
    </row>
    <row r="11" spans="1:6" x14ac:dyDescent="0.2">
      <c r="A11">
        <v>4420</v>
      </c>
      <c r="B11" s="17" t="s">
        <v>451</v>
      </c>
      <c r="C11" t="s">
        <v>452</v>
      </c>
      <c r="D11" s="141">
        <v>576</v>
      </c>
      <c r="E11" s="166">
        <v>17022</v>
      </c>
    </row>
    <row r="12" spans="1:6" ht="25.5" x14ac:dyDescent="0.2">
      <c r="A12">
        <v>7010</v>
      </c>
      <c r="B12" s="17" t="s">
        <v>454</v>
      </c>
      <c r="D12" s="141">
        <v>140.97999999999999</v>
      </c>
      <c r="E12" s="166" t="s">
        <v>455</v>
      </c>
    </row>
    <row r="13" spans="1:6" x14ac:dyDescent="0.2">
      <c r="B13" s="17"/>
      <c r="D13" s="141"/>
      <c r="E13" s="166"/>
    </row>
    <row r="14" spans="1:6" ht="15.75" thickBot="1" x14ac:dyDescent="0.3">
      <c r="D14" s="142">
        <f>SUM(D3:D12)</f>
        <v>1497.4033333333332</v>
      </c>
    </row>
    <row r="15" spans="1:6" ht="13.5" thickTop="1" x14ac:dyDescent="0.2"/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D70F-3CD3-4DDE-AE20-603782AD1805}">
  <dimension ref="A1:I28"/>
  <sheetViews>
    <sheetView workbookViewId="0">
      <selection activeCell="B27" sqref="B27:B28"/>
    </sheetView>
  </sheetViews>
  <sheetFormatPr defaultRowHeight="12.75" x14ac:dyDescent="0.2"/>
  <sheetData>
    <row r="1" spans="1:9" x14ac:dyDescent="0.2">
      <c r="B1" t="s">
        <v>399</v>
      </c>
      <c r="C1" t="s">
        <v>402</v>
      </c>
      <c r="D1" t="s">
        <v>393</v>
      </c>
      <c r="E1" t="s">
        <v>401</v>
      </c>
      <c r="F1" t="s">
        <v>392</v>
      </c>
      <c r="G1" t="s">
        <v>394</v>
      </c>
      <c r="H1" t="s">
        <v>425</v>
      </c>
    </row>
    <row r="2" spans="1:9" x14ac:dyDescent="0.2">
      <c r="A2" t="s">
        <v>421</v>
      </c>
      <c r="B2">
        <v>534</v>
      </c>
      <c r="C2">
        <v>573.32000000000005</v>
      </c>
      <c r="D2">
        <v>793.48</v>
      </c>
      <c r="E2">
        <v>302.95999999999998</v>
      </c>
      <c r="I2">
        <f t="shared" ref="I2:I7" si="0">SUM(B2:E2)</f>
        <v>2203.7600000000002</v>
      </c>
    </row>
    <row r="3" spans="1:9" x14ac:dyDescent="0.2">
      <c r="A3" t="s">
        <v>424</v>
      </c>
      <c r="B3">
        <v>534</v>
      </c>
      <c r="C3">
        <v>573.32000000000005</v>
      </c>
      <c r="D3">
        <v>793.48</v>
      </c>
      <c r="E3">
        <v>302.95999999999998</v>
      </c>
      <c r="I3">
        <f t="shared" si="0"/>
        <v>2203.7600000000002</v>
      </c>
    </row>
    <row r="4" spans="1:9" x14ac:dyDescent="0.2">
      <c r="A4" t="s">
        <v>420</v>
      </c>
      <c r="B4">
        <v>534</v>
      </c>
      <c r="C4">
        <v>573.32000000000005</v>
      </c>
      <c r="D4">
        <v>793.48</v>
      </c>
      <c r="E4">
        <v>302.95999999999998</v>
      </c>
      <c r="I4">
        <f t="shared" si="0"/>
        <v>2203.7600000000002</v>
      </c>
    </row>
    <row r="5" spans="1:9" x14ac:dyDescent="0.2">
      <c r="A5" t="s">
        <v>423</v>
      </c>
      <c r="B5">
        <v>534</v>
      </c>
      <c r="C5">
        <v>492</v>
      </c>
      <c r="D5">
        <v>757.81</v>
      </c>
      <c r="E5">
        <v>220.72</v>
      </c>
      <c r="I5">
        <f t="shared" si="0"/>
        <v>2004.53</v>
      </c>
    </row>
    <row r="6" spans="1:9" x14ac:dyDescent="0.2">
      <c r="A6" t="s">
        <v>422</v>
      </c>
      <c r="B6">
        <v>534</v>
      </c>
      <c r="C6">
        <v>256.14</v>
      </c>
      <c r="D6">
        <v>329.87</v>
      </c>
      <c r="I6">
        <f>SUM(B6:E6)</f>
        <v>1120.01</v>
      </c>
    </row>
    <row r="7" spans="1:9" x14ac:dyDescent="0.2">
      <c r="A7" t="s">
        <v>419</v>
      </c>
      <c r="B7">
        <v>231.4</v>
      </c>
      <c r="I7">
        <f t="shared" si="0"/>
        <v>231.4</v>
      </c>
    </row>
    <row r="8" spans="1:9" x14ac:dyDescent="0.2">
      <c r="A8" t="s">
        <v>367</v>
      </c>
      <c r="I8">
        <v>0</v>
      </c>
    </row>
    <row r="9" spans="1:9" x14ac:dyDescent="0.2">
      <c r="A9" t="s">
        <v>368</v>
      </c>
      <c r="B9">
        <v>534</v>
      </c>
      <c r="C9">
        <v>450.78</v>
      </c>
      <c r="D9">
        <v>645.84</v>
      </c>
      <c r="E9">
        <v>302.95999999999998</v>
      </c>
      <c r="F9">
        <v>1269.04</v>
      </c>
      <c r="G9">
        <v>317.38</v>
      </c>
      <c r="H9">
        <v>220.8</v>
      </c>
      <c r="I9">
        <f>SUM(B9:H9)</f>
        <v>3740.8</v>
      </c>
    </row>
    <row r="10" spans="1:9" x14ac:dyDescent="0.2">
      <c r="A10" t="s">
        <v>369</v>
      </c>
      <c r="B10">
        <v>534</v>
      </c>
      <c r="C10">
        <v>298.77999999999997</v>
      </c>
      <c r="D10">
        <v>472.52</v>
      </c>
      <c r="E10">
        <v>256.44</v>
      </c>
      <c r="F10">
        <v>1203.22</v>
      </c>
      <c r="G10">
        <v>281.76</v>
      </c>
      <c r="H10">
        <v>220.8</v>
      </c>
      <c r="I10">
        <f>SUM(B10:H10)</f>
        <v>3267.5200000000004</v>
      </c>
    </row>
    <row r="11" spans="1:9" x14ac:dyDescent="0.2">
      <c r="A11" s="234">
        <v>44197</v>
      </c>
      <c r="I11">
        <f t="shared" ref="I11:I14" si="1">SUM(B11:H11)</f>
        <v>0</v>
      </c>
    </row>
    <row r="12" spans="1:9" x14ac:dyDescent="0.2">
      <c r="A12" s="234">
        <v>44228</v>
      </c>
      <c r="I12">
        <f t="shared" si="1"/>
        <v>0</v>
      </c>
    </row>
    <row r="13" spans="1:9" x14ac:dyDescent="0.2">
      <c r="A13" s="234">
        <v>44256</v>
      </c>
      <c r="B13">
        <v>495.86</v>
      </c>
      <c r="C13">
        <v>461.83</v>
      </c>
      <c r="D13">
        <v>579.5</v>
      </c>
      <c r="E13">
        <v>291.74</v>
      </c>
      <c r="F13">
        <v>594.69000000000005</v>
      </c>
      <c r="G13">
        <v>320.62</v>
      </c>
      <c r="H13">
        <v>211.97</v>
      </c>
      <c r="I13">
        <f t="shared" si="1"/>
        <v>2956.2099999999996</v>
      </c>
    </row>
    <row r="14" spans="1:9" x14ac:dyDescent="0.2">
      <c r="A14" s="234">
        <v>44287</v>
      </c>
      <c r="B14">
        <v>187.89</v>
      </c>
      <c r="C14">
        <v>373.91</v>
      </c>
      <c r="D14">
        <v>387.51</v>
      </c>
      <c r="E14">
        <v>198.09</v>
      </c>
      <c r="F14">
        <v>270.92</v>
      </c>
      <c r="G14">
        <v>277.70999999999998</v>
      </c>
      <c r="H14">
        <v>138</v>
      </c>
      <c r="I14">
        <f t="shared" si="1"/>
        <v>1834.03</v>
      </c>
    </row>
    <row r="20" spans="1:4" x14ac:dyDescent="0.2">
      <c r="A20" t="s">
        <v>426</v>
      </c>
    </row>
    <row r="21" spans="1:4" x14ac:dyDescent="0.2">
      <c r="A21" s="218">
        <v>0.75</v>
      </c>
      <c r="B21">
        <v>951.78</v>
      </c>
      <c r="C21">
        <v>902.42</v>
      </c>
      <c r="D21" t="s">
        <v>427</v>
      </c>
    </row>
    <row r="22" spans="1:4" x14ac:dyDescent="0.2">
      <c r="A22" s="218">
        <v>0.2</v>
      </c>
      <c r="B22">
        <v>253.8</v>
      </c>
      <c r="C22">
        <v>260.44</v>
      </c>
      <c r="D22" t="s">
        <v>428</v>
      </c>
    </row>
    <row r="23" spans="1:4" x14ac:dyDescent="0.2">
      <c r="A23" s="218">
        <v>0.05</v>
      </c>
      <c r="B23">
        <v>63.46</v>
      </c>
      <c r="C23">
        <v>40.36</v>
      </c>
      <c r="D23" t="s">
        <v>24</v>
      </c>
    </row>
    <row r="26" spans="1:4" x14ac:dyDescent="0.2">
      <c r="A26" t="s">
        <v>399</v>
      </c>
    </row>
    <row r="27" spans="1:4" x14ac:dyDescent="0.2">
      <c r="A27" t="s">
        <v>429</v>
      </c>
      <c r="B27">
        <v>293.76</v>
      </c>
    </row>
    <row r="28" spans="1:4" x14ac:dyDescent="0.2">
      <c r="A28" t="s">
        <v>428</v>
      </c>
      <c r="B28">
        <v>240.24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Q40"/>
  <sheetViews>
    <sheetView workbookViewId="0">
      <selection activeCell="L43" sqref="L43"/>
    </sheetView>
  </sheetViews>
  <sheetFormatPr defaultRowHeight="12.75" x14ac:dyDescent="0.2"/>
  <cols>
    <col min="1" max="1" width="11" customWidth="1"/>
    <col min="2" max="2" width="5.5703125" customWidth="1"/>
    <col min="3" max="3" width="32.28515625" customWidth="1"/>
    <col min="6" max="6" width="2.5703125" customWidth="1"/>
    <col min="10" max="10" width="1.42578125" customWidth="1"/>
    <col min="12" max="12" width="9.7109375" customWidth="1"/>
    <col min="13" max="13" width="9.42578125" customWidth="1"/>
    <col min="14" max="14" width="1.85546875" customWidth="1"/>
    <col min="17" max="17" width="11.28515625" customWidth="1"/>
    <col min="18" max="19" width="9.42578125" bestFit="1" customWidth="1"/>
    <col min="20" max="20" width="10.140625" customWidth="1"/>
  </cols>
  <sheetData>
    <row r="1" spans="1:17" x14ac:dyDescent="0.2">
      <c r="A1" s="4" t="s">
        <v>176</v>
      </c>
    </row>
    <row r="3" spans="1:17" ht="15" x14ac:dyDescent="0.25">
      <c r="A3" s="42" t="s">
        <v>206</v>
      </c>
      <c r="B3" s="43"/>
      <c r="C3" s="43"/>
      <c r="D3" s="44" t="s">
        <v>179</v>
      </c>
      <c r="E3" s="45" t="s">
        <v>188</v>
      </c>
      <c r="F3" s="43"/>
      <c r="G3" s="312" t="s">
        <v>207</v>
      </c>
      <c r="H3" s="313"/>
      <c r="I3" s="314"/>
      <c r="J3" s="46"/>
      <c r="K3" s="315" t="s">
        <v>205</v>
      </c>
      <c r="L3" s="316"/>
      <c r="M3" s="317"/>
      <c r="N3" s="47"/>
      <c r="O3" s="315" t="s">
        <v>191</v>
      </c>
      <c r="P3" s="316"/>
      <c r="Q3" s="317"/>
    </row>
    <row r="4" spans="1:17" x14ac:dyDescent="0.2">
      <c r="A4" s="48" t="s">
        <v>208</v>
      </c>
      <c r="B4" s="48"/>
      <c r="C4" s="49"/>
      <c r="D4" s="50" t="s">
        <v>209</v>
      </c>
      <c r="E4" s="51" t="s">
        <v>210</v>
      </c>
      <c r="F4" s="48"/>
      <c r="G4" s="52" t="s">
        <v>211</v>
      </c>
      <c r="H4" s="48" t="s">
        <v>212</v>
      </c>
      <c r="I4" s="49" t="s">
        <v>213</v>
      </c>
      <c r="J4" s="53"/>
      <c r="K4" s="48" t="s">
        <v>211</v>
      </c>
      <c r="L4" s="48" t="s">
        <v>212</v>
      </c>
      <c r="M4" s="49" t="s">
        <v>213</v>
      </c>
      <c r="N4" s="48"/>
      <c r="O4" s="54" t="s">
        <v>211</v>
      </c>
      <c r="P4" s="48" t="s">
        <v>212</v>
      </c>
      <c r="Q4" s="49" t="s">
        <v>213</v>
      </c>
    </row>
    <row r="5" spans="1:17" x14ac:dyDescent="0.2">
      <c r="A5" s="55" t="s">
        <v>214</v>
      </c>
      <c r="B5" s="55"/>
      <c r="C5" s="45"/>
      <c r="D5" s="55"/>
      <c r="E5" s="45"/>
      <c r="F5" s="55"/>
      <c r="G5" s="56"/>
      <c r="H5" s="57"/>
      <c r="I5" s="58"/>
      <c r="J5" s="59"/>
      <c r="K5" s="60"/>
      <c r="L5" s="60"/>
      <c r="M5" s="61"/>
      <c r="N5" s="60"/>
      <c r="O5" s="62"/>
      <c r="P5" s="60"/>
      <c r="Q5" s="61"/>
    </row>
    <row r="6" spans="1:17" x14ac:dyDescent="0.2">
      <c r="A6" s="43"/>
      <c r="B6" s="43" t="s">
        <v>215</v>
      </c>
      <c r="C6" s="63"/>
      <c r="D6" s="64"/>
      <c r="E6" s="65"/>
      <c r="F6" s="43"/>
      <c r="G6" s="66"/>
      <c r="H6" s="64"/>
      <c r="I6" s="65"/>
      <c r="J6" s="67"/>
      <c r="K6" s="68"/>
      <c r="L6" s="68"/>
      <c r="M6" s="69"/>
      <c r="N6" s="68"/>
      <c r="O6" s="70"/>
      <c r="P6" s="68"/>
      <c r="Q6" s="69"/>
    </row>
    <row r="7" spans="1:17" x14ac:dyDescent="0.2">
      <c r="A7" s="43"/>
      <c r="B7" s="43"/>
      <c r="C7" s="63" t="s">
        <v>216</v>
      </c>
      <c r="D7" s="64">
        <v>33803</v>
      </c>
      <c r="E7" s="65">
        <v>35408</v>
      </c>
      <c r="F7" s="43"/>
      <c r="G7" s="66">
        <v>38500</v>
      </c>
      <c r="H7" s="64">
        <v>40500</v>
      </c>
      <c r="I7" s="65">
        <v>42500</v>
      </c>
      <c r="J7" s="67"/>
      <c r="K7" s="68">
        <f t="shared" ref="K7:M8" si="0">G7-O7</f>
        <v>38500</v>
      </c>
      <c r="L7" s="68">
        <f t="shared" si="0"/>
        <v>40500</v>
      </c>
      <c r="M7" s="69">
        <f t="shared" si="0"/>
        <v>42500</v>
      </c>
      <c r="N7" s="68"/>
      <c r="O7" s="70"/>
      <c r="P7" s="68"/>
      <c r="Q7" s="69"/>
    </row>
    <row r="8" spans="1:17" x14ac:dyDescent="0.2">
      <c r="A8" s="43"/>
      <c r="B8" s="43"/>
      <c r="C8" s="63" t="s">
        <v>217</v>
      </c>
      <c r="D8" s="64">
        <v>7292</v>
      </c>
      <c r="E8" s="65">
        <v>7292</v>
      </c>
      <c r="F8" s="43"/>
      <c r="G8" s="66">
        <v>7000</v>
      </c>
      <c r="H8" s="64">
        <v>12000</v>
      </c>
      <c r="I8" s="65">
        <v>12200</v>
      </c>
      <c r="J8" s="67"/>
      <c r="K8" s="68">
        <f t="shared" si="0"/>
        <v>7000</v>
      </c>
      <c r="L8" s="68">
        <f t="shared" si="0"/>
        <v>12000</v>
      </c>
      <c r="M8" s="69">
        <f t="shared" si="0"/>
        <v>12200</v>
      </c>
      <c r="N8" s="68"/>
      <c r="O8" s="70"/>
      <c r="P8" s="68"/>
      <c r="Q8" s="69"/>
    </row>
    <row r="9" spans="1:17" x14ac:dyDescent="0.2">
      <c r="A9" s="43"/>
      <c r="B9" s="43" t="s">
        <v>218</v>
      </c>
      <c r="C9" s="63"/>
      <c r="D9" s="64"/>
      <c r="E9" s="65"/>
      <c r="F9" s="43"/>
      <c r="G9" s="66"/>
      <c r="H9" s="64"/>
      <c r="I9" s="65"/>
      <c r="J9" s="67"/>
      <c r="K9" s="68"/>
      <c r="L9" s="68"/>
      <c r="M9" s="69"/>
      <c r="N9" s="68"/>
      <c r="O9" s="70"/>
      <c r="P9" s="68"/>
      <c r="Q9" s="69"/>
    </row>
    <row r="10" spans="1:17" x14ac:dyDescent="0.2">
      <c r="A10" s="43"/>
      <c r="B10" s="43"/>
      <c r="C10" s="63" t="s">
        <v>219</v>
      </c>
      <c r="D10" s="64">
        <v>30000</v>
      </c>
      <c r="E10" s="65">
        <v>30000</v>
      </c>
      <c r="F10" s="43"/>
      <c r="G10" s="66"/>
      <c r="H10" s="64"/>
      <c r="I10" s="65"/>
      <c r="J10" s="67"/>
      <c r="K10" s="68"/>
      <c r="L10" s="68"/>
      <c r="M10" s="69"/>
      <c r="N10" s="68"/>
      <c r="O10" s="70"/>
      <c r="P10" s="68"/>
      <c r="Q10" s="69"/>
    </row>
    <row r="11" spans="1:17" x14ac:dyDescent="0.2">
      <c r="A11" s="43"/>
      <c r="B11" s="43"/>
      <c r="C11" s="63" t="s">
        <v>220</v>
      </c>
      <c r="D11" s="64"/>
      <c r="E11" s="65"/>
      <c r="F11" s="43"/>
      <c r="G11" s="66">
        <v>7500</v>
      </c>
      <c r="H11" s="64">
        <v>7500</v>
      </c>
      <c r="I11" s="64">
        <v>7500</v>
      </c>
      <c r="J11" s="67"/>
      <c r="K11" s="68"/>
      <c r="L11" s="68"/>
      <c r="M11" s="69"/>
      <c r="N11" s="68"/>
      <c r="O11" s="70">
        <v>7500</v>
      </c>
      <c r="P11" s="68">
        <v>7500</v>
      </c>
      <c r="Q11" s="69">
        <v>7500</v>
      </c>
    </row>
    <row r="12" spans="1:17" x14ac:dyDescent="0.2">
      <c r="A12" s="43"/>
      <c r="B12" s="43"/>
      <c r="C12" s="63" t="s">
        <v>221</v>
      </c>
      <c r="D12" s="64"/>
      <c r="E12" s="65"/>
      <c r="F12" s="43"/>
      <c r="G12" s="66">
        <v>15000</v>
      </c>
      <c r="H12" s="64">
        <v>15000</v>
      </c>
      <c r="I12" s="64">
        <v>15000</v>
      </c>
      <c r="J12" s="67"/>
      <c r="K12" s="68">
        <f t="shared" ref="K12:M17" si="1">G12-O12</f>
        <v>10000</v>
      </c>
      <c r="L12" s="68">
        <f>H12-P12</f>
        <v>2000</v>
      </c>
      <c r="M12" s="69"/>
      <c r="N12" s="68"/>
      <c r="O12" s="70">
        <v>5000</v>
      </c>
      <c r="P12" s="68">
        <v>13000</v>
      </c>
      <c r="Q12" s="69">
        <v>15000</v>
      </c>
    </row>
    <row r="13" spans="1:17" x14ac:dyDescent="0.2">
      <c r="A13" s="43"/>
      <c r="B13" s="43"/>
      <c r="C13" s="63" t="s">
        <v>222</v>
      </c>
      <c r="D13" s="64">
        <v>4570</v>
      </c>
      <c r="E13" s="65">
        <v>5777</v>
      </c>
      <c r="F13" s="43"/>
      <c r="G13" s="66">
        <v>6000</v>
      </c>
      <c r="H13" s="64">
        <v>6500</v>
      </c>
      <c r="I13" s="64">
        <v>7000</v>
      </c>
      <c r="J13" s="67"/>
      <c r="K13" s="68">
        <f t="shared" si="1"/>
        <v>6000</v>
      </c>
      <c r="L13" s="68">
        <f>H13-P13</f>
        <v>6500</v>
      </c>
      <c r="M13" s="69">
        <f>I13-Q13</f>
        <v>7000</v>
      </c>
      <c r="N13" s="68"/>
      <c r="O13" s="70"/>
      <c r="P13" s="68"/>
      <c r="Q13" s="69"/>
    </row>
    <row r="14" spans="1:17" x14ac:dyDescent="0.2">
      <c r="A14" s="43"/>
      <c r="B14" s="63" t="s">
        <v>181</v>
      </c>
      <c r="C14" s="43"/>
      <c r="D14" s="66"/>
      <c r="E14" s="65">
        <v>0</v>
      </c>
      <c r="F14" s="43"/>
      <c r="G14" s="66">
        <v>2000</v>
      </c>
      <c r="H14" s="64">
        <v>3000</v>
      </c>
      <c r="I14" s="65">
        <v>4000</v>
      </c>
      <c r="J14" s="67"/>
      <c r="K14" s="68">
        <f t="shared" si="1"/>
        <v>2000</v>
      </c>
      <c r="L14" s="68">
        <f t="shared" si="1"/>
        <v>3000</v>
      </c>
      <c r="M14" s="69">
        <f t="shared" si="1"/>
        <v>4000</v>
      </c>
      <c r="N14" s="68"/>
      <c r="O14" s="70"/>
      <c r="P14" s="68"/>
      <c r="Q14" s="69"/>
    </row>
    <row r="15" spans="1:17" x14ac:dyDescent="0.2">
      <c r="A15" s="43"/>
      <c r="B15" s="63" t="s">
        <v>27</v>
      </c>
      <c r="C15" s="43"/>
      <c r="D15" s="66">
        <v>11618</v>
      </c>
      <c r="E15" s="65">
        <v>3438</v>
      </c>
      <c r="F15" s="43"/>
      <c r="G15" s="66">
        <v>11000</v>
      </c>
      <c r="H15" s="64">
        <v>5000</v>
      </c>
      <c r="I15" s="65">
        <v>5000</v>
      </c>
      <c r="J15" s="67"/>
      <c r="K15" s="68">
        <f t="shared" si="1"/>
        <v>6000</v>
      </c>
      <c r="L15" s="68">
        <f t="shared" si="1"/>
        <v>0</v>
      </c>
      <c r="M15" s="69">
        <f t="shared" si="1"/>
        <v>0</v>
      </c>
      <c r="N15" s="68"/>
      <c r="O15" s="70">
        <v>5000</v>
      </c>
      <c r="P15" s="68">
        <v>5000</v>
      </c>
      <c r="Q15" s="69">
        <v>5000</v>
      </c>
    </row>
    <row r="16" spans="1:17" x14ac:dyDescent="0.2">
      <c r="A16" s="43"/>
      <c r="B16" s="43" t="s">
        <v>177</v>
      </c>
      <c r="C16" s="63"/>
      <c r="D16" s="64">
        <v>7642</v>
      </c>
      <c r="E16" s="65">
        <v>5286</v>
      </c>
      <c r="F16" s="43"/>
      <c r="G16" s="66">
        <v>3860</v>
      </c>
      <c r="H16" s="64">
        <v>3940</v>
      </c>
      <c r="I16" s="65">
        <v>4010</v>
      </c>
      <c r="J16" s="67"/>
      <c r="K16" s="68">
        <f t="shared" si="1"/>
        <v>600</v>
      </c>
      <c r="L16" s="68">
        <f t="shared" si="1"/>
        <v>680</v>
      </c>
      <c r="M16" s="69">
        <f t="shared" si="1"/>
        <v>750</v>
      </c>
      <c r="N16" s="68"/>
      <c r="O16" s="70">
        <v>3260</v>
      </c>
      <c r="P16" s="68">
        <v>3260</v>
      </c>
      <c r="Q16" s="69">
        <v>3260</v>
      </c>
    </row>
    <row r="17" spans="1:17" x14ac:dyDescent="0.2">
      <c r="A17" s="43"/>
      <c r="B17" s="43" t="s">
        <v>223</v>
      </c>
      <c r="C17" s="63"/>
      <c r="D17" s="64">
        <v>156</v>
      </c>
      <c r="E17" s="65"/>
      <c r="F17" s="43"/>
      <c r="G17" s="66">
        <v>90</v>
      </c>
      <c r="H17" s="64">
        <v>60</v>
      </c>
      <c r="I17" s="65">
        <v>60</v>
      </c>
      <c r="J17" s="67"/>
      <c r="K17" s="68">
        <f t="shared" si="1"/>
        <v>90</v>
      </c>
      <c r="L17" s="68">
        <f t="shared" si="1"/>
        <v>60</v>
      </c>
      <c r="M17" s="69">
        <f t="shared" si="1"/>
        <v>60</v>
      </c>
      <c r="N17" s="68"/>
      <c r="O17" s="70"/>
      <c r="P17" s="68"/>
      <c r="Q17" s="69"/>
    </row>
    <row r="18" spans="1:17" ht="13.5" thickBot="1" x14ac:dyDescent="0.25">
      <c r="A18" s="43"/>
      <c r="B18" s="43"/>
      <c r="C18" s="71" t="s">
        <v>59</v>
      </c>
      <c r="D18" s="72">
        <f>SUM(D6:D17)</f>
        <v>95081</v>
      </c>
      <c r="E18" s="73">
        <f>SUM(E6:E16)</f>
        <v>87201</v>
      </c>
      <c r="F18" s="43"/>
      <c r="G18" s="74">
        <f>SUM(G6:G17)</f>
        <v>90950</v>
      </c>
      <c r="H18" s="72">
        <f>SUM(H6:H17)</f>
        <v>93500</v>
      </c>
      <c r="I18" s="73">
        <f>SUM(I6:I17)</f>
        <v>97270</v>
      </c>
      <c r="J18" s="67"/>
      <c r="K18" s="75">
        <f>SUM(K6:K17)</f>
        <v>70190</v>
      </c>
      <c r="L18" s="76">
        <f>SUM(L6:L17)</f>
        <v>64740</v>
      </c>
      <c r="M18" s="77">
        <f>SUM(M6:M17)</f>
        <v>66510</v>
      </c>
      <c r="N18" s="68"/>
      <c r="O18" s="75">
        <f>SUM(O6:O17)</f>
        <v>20760</v>
      </c>
      <c r="P18" s="76">
        <f>SUM(P6:P17)</f>
        <v>28760</v>
      </c>
      <c r="Q18" s="77">
        <f>SUM(Q6:Q17)</f>
        <v>30760</v>
      </c>
    </row>
    <row r="19" spans="1:17" ht="13.5" thickTop="1" x14ac:dyDescent="0.2">
      <c r="A19" s="43"/>
      <c r="B19" s="43"/>
      <c r="C19" s="63"/>
      <c r="D19" s="64"/>
      <c r="E19" s="65"/>
      <c r="F19" s="43"/>
      <c r="G19" s="66"/>
      <c r="H19" s="64"/>
      <c r="I19" s="65"/>
      <c r="J19" s="67"/>
      <c r="K19" s="68"/>
      <c r="L19" s="68"/>
      <c r="M19" s="69"/>
      <c r="N19" s="68"/>
      <c r="O19" s="70"/>
      <c r="P19" s="68"/>
      <c r="Q19" s="69"/>
    </row>
    <row r="20" spans="1:17" x14ac:dyDescent="0.2">
      <c r="A20" s="43"/>
      <c r="B20" s="43"/>
      <c r="C20" s="63"/>
      <c r="D20" s="64"/>
      <c r="E20" s="65"/>
      <c r="F20" s="43"/>
      <c r="G20" s="66"/>
      <c r="H20" s="64"/>
      <c r="I20" s="65"/>
      <c r="J20" s="67"/>
      <c r="K20" s="68"/>
      <c r="L20" s="68"/>
      <c r="M20" s="69"/>
      <c r="N20" s="68"/>
      <c r="O20" s="70"/>
      <c r="P20" s="68"/>
      <c r="Q20" s="69"/>
    </row>
    <row r="21" spans="1:17" x14ac:dyDescent="0.2">
      <c r="A21" s="55" t="s">
        <v>224</v>
      </c>
      <c r="B21" s="43"/>
      <c r="C21" s="63"/>
      <c r="D21" s="64"/>
      <c r="E21" s="65"/>
      <c r="F21" s="43"/>
      <c r="G21" s="66"/>
      <c r="H21" s="64"/>
      <c r="I21" s="65"/>
      <c r="J21" s="67"/>
      <c r="K21" s="68"/>
      <c r="L21" s="68"/>
      <c r="M21" s="69"/>
      <c r="N21" s="68"/>
      <c r="O21" s="70"/>
      <c r="P21" s="68"/>
      <c r="Q21" s="69"/>
    </row>
    <row r="22" spans="1:17" x14ac:dyDescent="0.2">
      <c r="A22" s="55"/>
      <c r="B22" s="43" t="s">
        <v>225</v>
      </c>
      <c r="C22" s="63"/>
      <c r="D22" s="64">
        <v>62257</v>
      </c>
      <c r="E22" s="65">
        <v>56933</v>
      </c>
      <c r="F22" s="43"/>
      <c r="G22" s="66">
        <v>44877</v>
      </c>
      <c r="H22" s="64">
        <v>49522</v>
      </c>
      <c r="I22" s="65">
        <v>50740</v>
      </c>
      <c r="J22" s="67"/>
      <c r="K22" s="68">
        <f t="shared" ref="K22:M31" si="2">G22-O22</f>
        <v>31714</v>
      </c>
      <c r="L22" s="68">
        <f t="shared" si="2"/>
        <v>34005</v>
      </c>
      <c r="M22" s="69">
        <f t="shared" si="2"/>
        <v>34810</v>
      </c>
      <c r="N22" s="68"/>
      <c r="O22" s="70">
        <v>13163</v>
      </c>
      <c r="P22" s="68">
        <v>15517</v>
      </c>
      <c r="Q22" s="69">
        <v>15930</v>
      </c>
    </row>
    <row r="23" spans="1:17" x14ac:dyDescent="0.2">
      <c r="A23" s="55"/>
      <c r="B23" s="43" t="s">
        <v>226</v>
      </c>
      <c r="C23" s="63"/>
      <c r="D23" s="64">
        <v>14448</v>
      </c>
      <c r="E23" s="65">
        <v>13810</v>
      </c>
      <c r="F23" s="43"/>
      <c r="G23" s="66">
        <v>14808</v>
      </c>
      <c r="H23" s="64">
        <v>15000</v>
      </c>
      <c r="I23" s="65">
        <v>15500</v>
      </c>
      <c r="J23" s="67"/>
      <c r="K23" s="68">
        <f t="shared" si="2"/>
        <v>14808</v>
      </c>
      <c r="L23" s="68">
        <f t="shared" si="2"/>
        <v>15000</v>
      </c>
      <c r="M23" s="69">
        <f t="shared" si="2"/>
        <v>15500</v>
      </c>
      <c r="N23" s="68"/>
      <c r="O23" s="70"/>
      <c r="P23" s="68"/>
      <c r="Q23" s="69"/>
    </row>
    <row r="24" spans="1:17" x14ac:dyDescent="0.2">
      <c r="A24" s="55"/>
      <c r="B24" s="43" t="s">
        <v>227</v>
      </c>
      <c r="C24" s="63"/>
      <c r="D24" s="64">
        <v>9454</v>
      </c>
      <c r="E24" s="65">
        <v>7498</v>
      </c>
      <c r="F24" s="43"/>
      <c r="G24" s="66">
        <v>8267</v>
      </c>
      <c r="H24" s="64">
        <v>8500</v>
      </c>
      <c r="I24" s="65">
        <v>8500</v>
      </c>
      <c r="J24" s="67"/>
      <c r="K24" s="68">
        <f t="shared" si="2"/>
        <v>8267</v>
      </c>
      <c r="L24" s="68">
        <f t="shared" si="2"/>
        <v>8500</v>
      </c>
      <c r="M24" s="69">
        <f t="shared" si="2"/>
        <v>8500</v>
      </c>
      <c r="N24" s="68"/>
      <c r="O24" s="70"/>
      <c r="P24" s="68"/>
      <c r="Q24" s="69"/>
    </row>
    <row r="25" spans="1:17" x14ac:dyDescent="0.2">
      <c r="A25" s="55"/>
      <c r="B25" s="43" t="s">
        <v>228</v>
      </c>
      <c r="C25" s="63"/>
      <c r="D25" s="64">
        <v>7892</v>
      </c>
      <c r="E25" s="65">
        <v>3064</v>
      </c>
      <c r="F25" s="43"/>
      <c r="G25" s="66">
        <v>3194</v>
      </c>
      <c r="H25" s="64">
        <v>3200</v>
      </c>
      <c r="I25" s="65">
        <v>3200</v>
      </c>
      <c r="J25" s="67"/>
      <c r="K25" s="68">
        <f t="shared" si="2"/>
        <v>3114</v>
      </c>
      <c r="L25" s="68">
        <f t="shared" si="2"/>
        <v>3120</v>
      </c>
      <c r="M25" s="69">
        <f t="shared" si="2"/>
        <v>3120</v>
      </c>
      <c r="N25" s="68"/>
      <c r="O25" s="70">
        <v>80</v>
      </c>
      <c r="P25" s="68">
        <v>80</v>
      </c>
      <c r="Q25" s="69">
        <v>80</v>
      </c>
    </row>
    <row r="26" spans="1:17" x14ac:dyDescent="0.2">
      <c r="A26" s="55"/>
      <c r="B26" s="43" t="s">
        <v>229</v>
      </c>
      <c r="C26" s="63"/>
      <c r="D26" s="64">
        <v>4460</v>
      </c>
      <c r="E26" s="65">
        <v>4578</v>
      </c>
      <c r="F26" s="43"/>
      <c r="G26" s="66">
        <v>3101</v>
      </c>
      <c r="H26" s="64">
        <v>3100</v>
      </c>
      <c r="I26" s="65">
        <v>3100</v>
      </c>
      <c r="J26" s="67"/>
      <c r="K26" s="68">
        <f t="shared" si="2"/>
        <v>2981</v>
      </c>
      <c r="L26" s="68">
        <f t="shared" si="2"/>
        <v>2980</v>
      </c>
      <c r="M26" s="69">
        <f t="shared" si="2"/>
        <v>2980</v>
      </c>
      <c r="N26" s="68"/>
      <c r="O26" s="70">
        <v>120</v>
      </c>
      <c r="P26" s="68">
        <v>120</v>
      </c>
      <c r="Q26" s="69">
        <v>120</v>
      </c>
    </row>
    <row r="27" spans="1:17" x14ac:dyDescent="0.2">
      <c r="A27" s="55"/>
      <c r="B27" s="43" t="s">
        <v>230</v>
      </c>
      <c r="C27" s="63"/>
      <c r="D27" s="64">
        <v>586</v>
      </c>
      <c r="E27" s="65">
        <v>377</v>
      </c>
      <c r="F27" s="43"/>
      <c r="G27" s="66">
        <v>1150</v>
      </c>
      <c r="H27" s="64">
        <v>1200</v>
      </c>
      <c r="I27" s="65">
        <v>1250</v>
      </c>
      <c r="J27" s="67"/>
      <c r="K27" s="68">
        <f t="shared" si="2"/>
        <v>1150</v>
      </c>
      <c r="L27" s="68">
        <f t="shared" si="2"/>
        <v>1200</v>
      </c>
      <c r="M27" s="69">
        <f t="shared" si="2"/>
        <v>1250</v>
      </c>
      <c r="N27" s="68"/>
      <c r="O27" s="70"/>
      <c r="P27" s="68"/>
      <c r="Q27" s="69"/>
    </row>
    <row r="28" spans="1:17" x14ac:dyDescent="0.2">
      <c r="A28" s="55"/>
      <c r="B28" s="43" t="s">
        <v>231</v>
      </c>
      <c r="C28" s="63"/>
      <c r="D28" s="64">
        <v>1741</v>
      </c>
      <c r="E28" s="65">
        <v>1035</v>
      </c>
      <c r="F28" s="43"/>
      <c r="G28" s="66">
        <v>1241</v>
      </c>
      <c r="H28" s="64">
        <v>1500</v>
      </c>
      <c r="I28" s="65">
        <v>2000</v>
      </c>
      <c r="J28" s="67"/>
      <c r="K28" s="68"/>
      <c r="L28" s="68"/>
      <c r="M28" s="69"/>
      <c r="N28" s="68"/>
      <c r="O28" s="70">
        <v>1241</v>
      </c>
      <c r="P28" s="68">
        <f>H28</f>
        <v>1500</v>
      </c>
      <c r="Q28" s="69">
        <f>I28</f>
        <v>2000</v>
      </c>
    </row>
    <row r="29" spans="1:17" x14ac:dyDescent="0.2">
      <c r="A29" s="55"/>
      <c r="B29" s="43" t="s">
        <v>232</v>
      </c>
      <c r="C29" s="63"/>
      <c r="D29" s="64">
        <v>3100</v>
      </c>
      <c r="E29" s="65">
        <v>0</v>
      </c>
      <c r="F29" s="43"/>
      <c r="G29" s="66">
        <v>11800</v>
      </c>
      <c r="H29" s="64">
        <v>10000</v>
      </c>
      <c r="I29" s="65">
        <v>11000</v>
      </c>
      <c r="J29" s="67"/>
      <c r="K29" s="68">
        <f t="shared" si="2"/>
        <v>7800</v>
      </c>
      <c r="L29" s="68"/>
      <c r="M29" s="69"/>
      <c r="N29" s="68"/>
      <c r="O29" s="70">
        <v>4000</v>
      </c>
      <c r="P29" s="68">
        <f>H29</f>
        <v>10000</v>
      </c>
      <c r="Q29" s="69">
        <f>I29</f>
        <v>11000</v>
      </c>
    </row>
    <row r="30" spans="1:17" x14ac:dyDescent="0.2">
      <c r="A30" s="55"/>
      <c r="B30" s="43" t="s">
        <v>6</v>
      </c>
      <c r="C30" s="63"/>
      <c r="D30" s="64">
        <v>710</v>
      </c>
      <c r="E30" s="65">
        <v>613</v>
      </c>
      <c r="F30" s="43"/>
      <c r="G30" s="66">
        <v>613</v>
      </c>
      <c r="H30" s="64">
        <v>650</v>
      </c>
      <c r="I30" s="65">
        <v>650</v>
      </c>
      <c r="J30" s="67"/>
      <c r="K30" s="68">
        <f t="shared" si="2"/>
        <v>473.07828477185268</v>
      </c>
      <c r="L30" s="68">
        <f t="shared" si="2"/>
        <v>450.06417112299465</v>
      </c>
      <c r="M30" s="69">
        <f t="shared" si="2"/>
        <v>444.4484424796957</v>
      </c>
      <c r="N30" s="68"/>
      <c r="O30" s="70">
        <f>O18*G30/G18</f>
        <v>139.92171522814732</v>
      </c>
      <c r="P30" s="68">
        <f>P18*H30/H18</f>
        <v>199.93582887700535</v>
      </c>
      <c r="Q30" s="69">
        <f>Q18*I30/I18</f>
        <v>205.5515575203043</v>
      </c>
    </row>
    <row r="31" spans="1:17" x14ac:dyDescent="0.2">
      <c r="A31" s="55"/>
      <c r="B31" s="43" t="s">
        <v>233</v>
      </c>
      <c r="C31" s="63"/>
      <c r="D31" s="64"/>
      <c r="E31" s="65">
        <v>-160</v>
      </c>
      <c r="F31" s="43"/>
      <c r="G31" s="66"/>
      <c r="H31" s="64"/>
      <c r="I31" s="65"/>
      <c r="J31" s="67"/>
      <c r="K31" s="68">
        <f t="shared" si="2"/>
        <v>-1500</v>
      </c>
      <c r="L31" s="68">
        <f t="shared" si="2"/>
        <v>-1500</v>
      </c>
      <c r="M31" s="69">
        <f t="shared" si="2"/>
        <v>-1500</v>
      </c>
      <c r="N31" s="68"/>
      <c r="O31" s="70">
        <v>1500</v>
      </c>
      <c r="P31" s="68">
        <v>1500</v>
      </c>
      <c r="Q31" s="69">
        <v>1500</v>
      </c>
    </row>
    <row r="32" spans="1:17" x14ac:dyDescent="0.2">
      <c r="A32" s="55"/>
      <c r="B32" s="43" t="s">
        <v>234</v>
      </c>
      <c r="C32" s="63"/>
      <c r="D32" s="64"/>
      <c r="E32" s="65">
        <v>3000</v>
      </c>
      <c r="F32" s="43"/>
      <c r="G32" s="66"/>
      <c r="H32" s="64"/>
      <c r="I32" s="65"/>
      <c r="J32" s="67"/>
      <c r="K32" s="68"/>
      <c r="L32" s="68"/>
      <c r="M32" s="78"/>
      <c r="N32" s="68"/>
      <c r="O32" s="70"/>
      <c r="P32" s="68"/>
      <c r="Q32" s="69"/>
    </row>
    <row r="33" spans="1:17" x14ac:dyDescent="0.2">
      <c r="A33" s="55"/>
      <c r="B33" s="43"/>
      <c r="C33" s="71" t="s">
        <v>235</v>
      </c>
      <c r="D33" s="79">
        <f>SUM(D22:D32)</f>
        <v>104648</v>
      </c>
      <c r="E33" s="80">
        <f>SUM(E22:E32)</f>
        <v>90748</v>
      </c>
      <c r="F33" s="43"/>
      <c r="G33" s="81">
        <f>SUM(G22:G32)</f>
        <v>89051</v>
      </c>
      <c r="H33" s="79">
        <f>SUM(H22:H32)</f>
        <v>92672</v>
      </c>
      <c r="I33" s="80">
        <f>SUM(I22:I32)</f>
        <v>95940</v>
      </c>
      <c r="J33" s="67"/>
      <c r="K33" s="82">
        <f>SUM(K22:K32)</f>
        <v>68807.078284771851</v>
      </c>
      <c r="L33" s="82">
        <f>SUM(L22:L32)</f>
        <v>63755.064171122998</v>
      </c>
      <c r="M33" s="83">
        <f>SUM(M22:M32)</f>
        <v>65104.448442479697</v>
      </c>
      <c r="N33" s="68"/>
      <c r="O33" s="84">
        <f>SUM(O22:O32)</f>
        <v>20243.921715228149</v>
      </c>
      <c r="P33" s="82">
        <f>SUM(P22:P32)</f>
        <v>28916.935828877005</v>
      </c>
      <c r="Q33" s="83">
        <f>SUM(Q22:Q32)</f>
        <v>30835.551557520303</v>
      </c>
    </row>
    <row r="34" spans="1:17" x14ac:dyDescent="0.2">
      <c r="A34" s="55"/>
      <c r="B34" s="43"/>
      <c r="C34" s="63"/>
      <c r="D34" s="64"/>
      <c r="E34" s="65"/>
      <c r="F34" s="43"/>
      <c r="G34" s="66"/>
      <c r="H34" s="64"/>
      <c r="I34" s="65"/>
      <c r="J34" s="67"/>
      <c r="K34" s="68"/>
      <c r="L34" s="68"/>
      <c r="M34" s="78"/>
      <c r="N34" s="68"/>
      <c r="O34" s="70"/>
      <c r="P34" s="68"/>
      <c r="Q34" s="78"/>
    </row>
    <row r="35" spans="1:17" ht="13.5" thickBot="1" x14ac:dyDescent="0.25">
      <c r="A35" s="55"/>
      <c r="B35" s="43"/>
      <c r="C35" s="85" t="s">
        <v>59</v>
      </c>
      <c r="D35" s="72">
        <f>SUM(D33:D34)</f>
        <v>104648</v>
      </c>
      <c r="E35" s="73">
        <f>SUM(E33:E34)</f>
        <v>90748</v>
      </c>
      <c r="F35" s="43"/>
      <c r="G35" s="74">
        <f>SUM(G33:G34)</f>
        <v>89051</v>
      </c>
      <c r="H35" s="72">
        <f>SUM(H33:H34)</f>
        <v>92672</v>
      </c>
      <c r="I35" s="73">
        <f>SUM(I33:I34)</f>
        <v>95940</v>
      </c>
      <c r="J35" s="67"/>
      <c r="K35" s="76">
        <f>SUM(K33:K34)</f>
        <v>68807.078284771851</v>
      </c>
      <c r="L35" s="76">
        <f>SUM(L33:L34)</f>
        <v>63755.064171122998</v>
      </c>
      <c r="M35" s="77">
        <f>SUM(M33:M34)</f>
        <v>65104.448442479697</v>
      </c>
      <c r="N35" s="68"/>
      <c r="O35" s="75">
        <f>SUM(O33:O34)</f>
        <v>20243.921715228149</v>
      </c>
      <c r="P35" s="76">
        <f>SUM(P33:P34)</f>
        <v>28916.935828877005</v>
      </c>
      <c r="Q35" s="77">
        <f>SUM(Q33:Q34)</f>
        <v>30835.551557520303</v>
      </c>
    </row>
    <row r="36" spans="1:17" ht="13.5" thickTop="1" x14ac:dyDescent="0.2">
      <c r="A36" s="55"/>
      <c r="B36" s="43"/>
      <c r="C36" s="63"/>
      <c r="D36" s="64"/>
      <c r="E36" s="65"/>
      <c r="F36" s="43"/>
      <c r="G36" s="66"/>
      <c r="H36" s="64"/>
      <c r="I36" s="65"/>
      <c r="J36" s="67"/>
      <c r="K36" s="68"/>
      <c r="L36" s="68"/>
      <c r="M36" s="69"/>
      <c r="N36" s="68"/>
      <c r="O36" s="70"/>
      <c r="P36" s="68"/>
      <c r="Q36" s="69"/>
    </row>
    <row r="37" spans="1:17" ht="13.5" thickBot="1" x14ac:dyDescent="0.25">
      <c r="A37" s="55"/>
      <c r="B37" s="43"/>
      <c r="C37" s="85" t="s">
        <v>236</v>
      </c>
      <c r="D37" s="74">
        <f>D18-D35</f>
        <v>-9567</v>
      </c>
      <c r="E37" s="73">
        <f>E18-E35</f>
        <v>-3547</v>
      </c>
      <c r="F37" s="43"/>
      <c r="G37" s="74">
        <f>G18-G35</f>
        <v>1899</v>
      </c>
      <c r="H37" s="72">
        <f>H18-H35</f>
        <v>828</v>
      </c>
      <c r="I37" s="73">
        <f>I18-I35</f>
        <v>1330</v>
      </c>
      <c r="J37" s="67"/>
      <c r="K37" s="76">
        <f>K18-K35</f>
        <v>1382.921715228149</v>
      </c>
      <c r="L37" s="76">
        <f>L18-L35</f>
        <v>984.93582887700177</v>
      </c>
      <c r="M37" s="77">
        <f>M18-M35</f>
        <v>1405.5515575203026</v>
      </c>
      <c r="N37" s="68"/>
      <c r="O37" s="75">
        <f>O18-O35</f>
        <v>516.07828477185103</v>
      </c>
      <c r="P37" s="76">
        <f>P18-P35</f>
        <v>-156.93582887700541</v>
      </c>
      <c r="Q37" s="77">
        <f>Q18-Q35</f>
        <v>-75.551557520302595</v>
      </c>
    </row>
    <row r="38" spans="1:17" ht="13.5" thickTop="1" x14ac:dyDescent="0.2">
      <c r="A38" s="55"/>
      <c r="B38" s="43"/>
      <c r="C38" s="43"/>
      <c r="D38" s="64"/>
      <c r="E38" s="64"/>
      <c r="F38" s="43"/>
      <c r="G38" s="64"/>
      <c r="H38" s="64"/>
      <c r="I38" s="65"/>
      <c r="J38" s="46"/>
      <c r="K38" s="86"/>
      <c r="L38" s="86"/>
      <c r="M38" s="87"/>
      <c r="N38" s="86"/>
      <c r="O38" s="88"/>
      <c r="P38" s="86"/>
      <c r="Q38" s="87"/>
    </row>
    <row r="39" spans="1:17" ht="13.5" thickBot="1" x14ac:dyDescent="0.25">
      <c r="A39" s="55"/>
      <c r="B39" s="43"/>
      <c r="C39" s="89" t="s">
        <v>237</v>
      </c>
      <c r="D39" s="64"/>
      <c r="E39" s="64"/>
      <c r="F39" s="43"/>
      <c r="G39" s="74">
        <f>G37</f>
        <v>1899</v>
      </c>
      <c r="H39" s="72">
        <f>G39+H37</f>
        <v>2727</v>
      </c>
      <c r="I39" s="72">
        <f>H39+I37</f>
        <v>4057</v>
      </c>
      <c r="J39" s="67"/>
      <c r="K39" s="75">
        <f>K37</f>
        <v>1382.921715228149</v>
      </c>
      <c r="L39" s="72">
        <f>K39+L37</f>
        <v>2367.8575441051507</v>
      </c>
      <c r="M39" s="73">
        <f>L39+M37</f>
        <v>3773.4091016254533</v>
      </c>
      <c r="N39" s="64"/>
      <c r="O39" s="75">
        <f>O37</f>
        <v>516.07828477185103</v>
      </c>
      <c r="P39" s="72">
        <f>O39+P37</f>
        <v>359.14245589484563</v>
      </c>
      <c r="Q39" s="73">
        <f>P39+Q37</f>
        <v>283.59089837454303</v>
      </c>
    </row>
    <row r="40" spans="1:17" ht="13.5" thickTop="1" x14ac:dyDescent="0.2"/>
  </sheetData>
  <sheetProtection selectLockedCells="1" selectUnlockedCells="1"/>
  <mergeCells count="3">
    <mergeCell ref="G3:I3"/>
    <mergeCell ref="K3:M3"/>
    <mergeCell ref="O3:Q3"/>
  </mergeCells>
  <pageMargins left="0.7" right="0.7" top="0.75" bottom="0.75" header="0.51180555555555551" footer="0.51180555555555551"/>
  <pageSetup paperSize="9" scale="84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AD37"/>
  <sheetViews>
    <sheetView topLeftCell="T1" workbookViewId="0">
      <selection activeCell="H29" sqref="H29"/>
    </sheetView>
  </sheetViews>
  <sheetFormatPr defaultColWidth="9.140625" defaultRowHeight="12.75" x14ac:dyDescent="0.2"/>
  <cols>
    <col min="1" max="1" width="11" hidden="1" customWidth="1"/>
    <col min="2" max="2" width="5.5703125" hidden="1" customWidth="1"/>
    <col min="3" max="3" width="32.28515625" hidden="1" customWidth="1"/>
    <col min="4" max="5" width="0" hidden="1" customWidth="1"/>
    <col min="6" max="6" width="2.5703125" hidden="1" customWidth="1"/>
    <col min="7" max="7" width="0" hidden="1" customWidth="1"/>
    <col min="8" max="8" width="16.5703125" hidden="1" customWidth="1"/>
    <col min="9" max="9" width="0" hidden="1" customWidth="1"/>
    <col min="10" max="10" width="1.42578125" hidden="1" customWidth="1"/>
    <col min="11" max="11" width="0" hidden="1" customWidth="1"/>
    <col min="12" max="12" width="21.28515625" hidden="1" customWidth="1"/>
    <col min="13" max="13" width="7.85546875" hidden="1" customWidth="1"/>
    <col min="14" max="14" width="1.85546875" hidden="1" customWidth="1"/>
    <col min="15" max="15" width="0" hidden="1" customWidth="1"/>
    <col min="16" max="16" width="24.42578125" hidden="1" customWidth="1"/>
    <col min="17" max="17" width="11.28515625" hidden="1" customWidth="1"/>
    <col min="18" max="19" width="9.42578125" hidden="1" customWidth="1"/>
    <col min="20" max="20" width="10.140625" customWidth="1"/>
    <col min="21" max="21" width="4.7109375" customWidth="1"/>
    <col min="22" max="22" width="34.42578125" customWidth="1"/>
    <col min="23" max="23" width="16.28515625" customWidth="1"/>
    <col min="24" max="24" width="2.42578125" customWidth="1"/>
    <col min="25" max="25" width="16.28515625" customWidth="1"/>
    <col min="26" max="26" width="2.42578125" customWidth="1"/>
    <col min="27" max="27" width="16.28515625" customWidth="1"/>
    <col min="28" max="28" width="2.42578125" customWidth="1"/>
    <col min="29" max="29" width="16.28515625" customWidth="1"/>
  </cols>
  <sheetData>
    <row r="1" spans="1:29" x14ac:dyDescent="0.2">
      <c r="A1" s="4" t="s">
        <v>176</v>
      </c>
      <c r="T1" s="4" t="s">
        <v>176</v>
      </c>
    </row>
    <row r="3" spans="1:29" ht="15" x14ac:dyDescent="0.25">
      <c r="A3" s="42" t="s">
        <v>206</v>
      </c>
      <c r="B3" s="43"/>
      <c r="C3" s="43"/>
      <c r="D3" s="44" t="s">
        <v>179</v>
      </c>
      <c r="E3" s="45" t="s">
        <v>188</v>
      </c>
      <c r="F3" s="43"/>
      <c r="G3" s="312" t="s">
        <v>207</v>
      </c>
      <c r="H3" s="313"/>
      <c r="I3" s="314"/>
      <c r="J3" s="46"/>
      <c r="K3" s="315" t="s">
        <v>205</v>
      </c>
      <c r="L3" s="316"/>
      <c r="M3" s="317"/>
      <c r="N3" s="47"/>
      <c r="O3" s="315" t="s">
        <v>191</v>
      </c>
      <c r="P3" s="316"/>
      <c r="Q3" s="317"/>
      <c r="U3" s="43"/>
      <c r="V3" s="43"/>
      <c r="W3" s="115" t="s">
        <v>59</v>
      </c>
      <c r="X3" s="113"/>
      <c r="Y3" s="114" t="s">
        <v>326</v>
      </c>
      <c r="Z3" s="114"/>
      <c r="AA3" s="114" t="s">
        <v>327</v>
      </c>
      <c r="AC3" s="114" t="s">
        <v>328</v>
      </c>
    </row>
    <row r="4" spans="1:29" x14ac:dyDescent="0.2">
      <c r="A4" s="48" t="s">
        <v>208</v>
      </c>
      <c r="B4" s="48"/>
      <c r="C4" s="49"/>
      <c r="D4" s="50" t="s">
        <v>209</v>
      </c>
      <c r="E4" s="51" t="s">
        <v>210</v>
      </c>
      <c r="F4" s="48"/>
      <c r="G4" s="52" t="s">
        <v>211</v>
      </c>
      <c r="H4" s="48" t="s">
        <v>212</v>
      </c>
      <c r="I4" s="49" t="s">
        <v>213</v>
      </c>
      <c r="J4" s="53"/>
      <c r="K4" s="48" t="s">
        <v>211</v>
      </c>
      <c r="L4" s="48" t="s">
        <v>212</v>
      </c>
      <c r="M4" s="49" t="s">
        <v>213</v>
      </c>
      <c r="N4" s="48"/>
      <c r="O4" s="54" t="s">
        <v>211</v>
      </c>
      <c r="P4" s="48" t="s">
        <v>212</v>
      </c>
      <c r="Q4" s="49" t="s">
        <v>213</v>
      </c>
      <c r="T4" s="48"/>
      <c r="U4" s="48"/>
      <c r="V4" s="104"/>
      <c r="W4" s="102" t="s">
        <v>212</v>
      </c>
      <c r="X4" s="55"/>
      <c r="Y4" s="102" t="s">
        <v>212</v>
      </c>
      <c r="Z4" s="112"/>
      <c r="AA4" s="102" t="s">
        <v>212</v>
      </c>
      <c r="AC4" s="102" t="s">
        <v>212</v>
      </c>
    </row>
    <row r="5" spans="1:29" x14ac:dyDescent="0.2">
      <c r="A5" s="55" t="s">
        <v>214</v>
      </c>
      <c r="B5" s="55"/>
      <c r="C5" s="45"/>
      <c r="D5" s="55"/>
      <c r="E5" s="45"/>
      <c r="F5" s="55"/>
      <c r="G5" s="56"/>
      <c r="H5" s="57"/>
      <c r="I5" s="58"/>
      <c r="J5" s="59"/>
      <c r="K5" s="60"/>
      <c r="L5" s="60"/>
      <c r="M5" s="61"/>
      <c r="N5" s="60"/>
      <c r="O5" s="62"/>
      <c r="P5" s="60"/>
      <c r="Q5" s="61"/>
      <c r="T5" s="55" t="s">
        <v>214</v>
      </c>
      <c r="U5" s="55"/>
      <c r="V5" s="55"/>
      <c r="W5" s="59"/>
      <c r="X5" s="57"/>
      <c r="Y5" s="108"/>
      <c r="Z5" s="60"/>
      <c r="AA5" s="108"/>
      <c r="AC5" s="108"/>
    </row>
    <row r="6" spans="1:29" x14ac:dyDescent="0.2">
      <c r="A6" s="43"/>
      <c r="B6" s="43" t="s">
        <v>215</v>
      </c>
      <c r="C6" s="63"/>
      <c r="D6" s="64"/>
      <c r="E6" s="65"/>
      <c r="F6" s="43"/>
      <c r="G6" s="66"/>
      <c r="H6" s="64"/>
      <c r="I6" s="65"/>
      <c r="J6" s="67"/>
      <c r="K6" s="68"/>
      <c r="L6" s="68"/>
      <c r="M6" s="69"/>
      <c r="N6" s="68"/>
      <c r="O6" s="70"/>
      <c r="P6" s="68"/>
      <c r="Q6" s="69"/>
      <c r="T6" s="43"/>
      <c r="U6" s="43" t="s">
        <v>215</v>
      </c>
      <c r="V6" s="43"/>
      <c r="W6" s="67"/>
      <c r="X6" s="64"/>
      <c r="Y6" s="109"/>
      <c r="Z6" s="68"/>
      <c r="AA6" s="109"/>
      <c r="AC6" s="109"/>
    </row>
    <row r="7" spans="1:29" x14ac:dyDescent="0.2">
      <c r="A7" s="43"/>
      <c r="B7" s="43"/>
      <c r="C7" s="63" t="s">
        <v>216</v>
      </c>
      <c r="D7" s="64">
        <v>33803</v>
      </c>
      <c r="E7" s="65">
        <v>35408</v>
      </c>
      <c r="F7" s="43"/>
      <c r="G7" s="66">
        <v>38500</v>
      </c>
      <c r="H7" s="64">
        <v>50000</v>
      </c>
      <c r="I7" s="65">
        <v>42500</v>
      </c>
      <c r="J7" s="67"/>
      <c r="K7" s="68">
        <f t="shared" ref="K7:M8" si="0">G7-O7</f>
        <v>38500</v>
      </c>
      <c r="L7" s="68">
        <f t="shared" si="0"/>
        <v>50000</v>
      </c>
      <c r="M7" s="69">
        <f t="shared" si="0"/>
        <v>42500</v>
      </c>
      <c r="N7" s="68"/>
      <c r="O7" s="70"/>
      <c r="P7" s="68"/>
      <c r="Q7" s="69"/>
      <c r="T7" s="43"/>
      <c r="U7" s="43"/>
      <c r="V7" s="43" t="s">
        <v>216</v>
      </c>
      <c r="W7" s="67">
        <f>Y7+AA7+AC7</f>
        <v>50000</v>
      </c>
      <c r="X7" s="64"/>
      <c r="Y7" s="109">
        <v>50000</v>
      </c>
      <c r="Z7" s="68"/>
      <c r="AA7" s="109"/>
      <c r="AC7" s="109"/>
    </row>
    <row r="8" spans="1:29" x14ac:dyDescent="0.2">
      <c r="A8" s="43"/>
      <c r="B8" s="43"/>
      <c r="C8" s="63" t="s">
        <v>217</v>
      </c>
      <c r="D8" s="64">
        <v>7292</v>
      </c>
      <c r="E8" s="65">
        <v>7292</v>
      </c>
      <c r="F8" s="43"/>
      <c r="G8" s="66">
        <v>7000</v>
      </c>
      <c r="H8" s="64">
        <v>12000</v>
      </c>
      <c r="I8" s="65">
        <v>12200</v>
      </c>
      <c r="J8" s="67"/>
      <c r="K8" s="68">
        <f t="shared" si="0"/>
        <v>7000</v>
      </c>
      <c r="L8" s="68">
        <f t="shared" si="0"/>
        <v>12000</v>
      </c>
      <c r="M8" s="69">
        <f t="shared" si="0"/>
        <v>12200</v>
      </c>
      <c r="N8" s="68"/>
      <c r="O8" s="70"/>
      <c r="P8" s="68"/>
      <c r="Q8" s="69"/>
      <c r="T8" s="43"/>
      <c r="U8" s="43"/>
      <c r="V8" s="43" t="s">
        <v>217</v>
      </c>
      <c r="W8" s="67">
        <f>Y8+AA8+AC8</f>
        <v>12000</v>
      </c>
      <c r="X8" s="64"/>
      <c r="Y8" s="109">
        <v>12000</v>
      </c>
      <c r="Z8" s="68"/>
      <c r="AA8" s="109"/>
      <c r="AC8" s="109"/>
    </row>
    <row r="9" spans="1:29" x14ac:dyDescent="0.2">
      <c r="A9" s="43"/>
      <c r="B9" s="43" t="s">
        <v>218</v>
      </c>
      <c r="C9" s="63"/>
      <c r="D9" s="64"/>
      <c r="E9" s="65"/>
      <c r="F9" s="43"/>
      <c r="G9" s="66"/>
      <c r="H9" s="64"/>
      <c r="I9" s="65"/>
      <c r="J9" s="67"/>
      <c r="K9" s="68"/>
      <c r="L9" s="68"/>
      <c r="M9" s="69"/>
      <c r="N9" s="68"/>
      <c r="O9" s="70"/>
      <c r="P9" s="68"/>
      <c r="Q9" s="69"/>
      <c r="T9" s="43"/>
      <c r="U9" s="43" t="s">
        <v>218</v>
      </c>
      <c r="V9" s="43"/>
      <c r="W9" s="67"/>
      <c r="X9" s="64"/>
      <c r="Y9" s="109"/>
      <c r="Z9" s="68"/>
      <c r="AA9" s="109"/>
      <c r="AC9" s="109"/>
    </row>
    <row r="10" spans="1:29" x14ac:dyDescent="0.2">
      <c r="A10" s="43"/>
      <c r="B10" s="43"/>
      <c r="C10" s="63" t="s">
        <v>219</v>
      </c>
      <c r="D10" s="64">
        <v>30000</v>
      </c>
      <c r="E10" s="65">
        <v>30000</v>
      </c>
      <c r="F10" s="43"/>
      <c r="G10" s="66"/>
      <c r="H10" s="64"/>
      <c r="I10" s="65"/>
      <c r="J10" s="67"/>
      <c r="K10" s="68"/>
      <c r="L10" s="68"/>
      <c r="M10" s="69"/>
      <c r="N10" s="68"/>
      <c r="O10" s="70"/>
      <c r="P10" s="68"/>
      <c r="Q10" s="69"/>
      <c r="T10" s="43"/>
      <c r="U10" s="43"/>
      <c r="V10" s="43" t="s">
        <v>219</v>
      </c>
      <c r="W10" s="67"/>
      <c r="X10" s="64"/>
      <c r="Y10" s="109"/>
      <c r="Z10" s="68"/>
      <c r="AA10" s="109"/>
      <c r="AC10" s="109"/>
    </row>
    <row r="11" spans="1:29" x14ac:dyDescent="0.2">
      <c r="A11" s="43"/>
      <c r="B11" s="43"/>
      <c r="C11" s="63" t="s">
        <v>220</v>
      </c>
      <c r="D11" s="64"/>
      <c r="E11" s="65"/>
      <c r="F11" s="43"/>
      <c r="G11" s="66">
        <v>7500</v>
      </c>
      <c r="H11" s="64">
        <v>7500</v>
      </c>
      <c r="I11" s="64">
        <v>7500</v>
      </c>
      <c r="J11" s="67"/>
      <c r="K11" s="68"/>
      <c r="L11" s="68"/>
      <c r="M11" s="69"/>
      <c r="N11" s="68"/>
      <c r="O11" s="70">
        <v>7500</v>
      </c>
      <c r="P11" s="68">
        <v>7500</v>
      </c>
      <c r="Q11" s="69">
        <v>7500</v>
      </c>
      <c r="T11" s="43"/>
      <c r="U11" s="43"/>
      <c r="V11" s="43" t="s">
        <v>220</v>
      </c>
      <c r="W11" s="67">
        <f t="shared" ref="W11:W17" si="1">Y11+AA11+AC11</f>
        <v>2500</v>
      </c>
      <c r="X11" s="64"/>
      <c r="Y11" s="109"/>
      <c r="Z11" s="68"/>
      <c r="AA11" s="109">
        <v>2500</v>
      </c>
      <c r="AC11" s="109"/>
    </row>
    <row r="12" spans="1:29" x14ac:dyDescent="0.2">
      <c r="A12" s="43"/>
      <c r="B12" s="43"/>
      <c r="C12" s="63" t="s">
        <v>221</v>
      </c>
      <c r="D12" s="64"/>
      <c r="E12" s="65"/>
      <c r="F12" s="43"/>
      <c r="G12" s="66">
        <v>15000</v>
      </c>
      <c r="H12" s="64">
        <v>15000</v>
      </c>
      <c r="I12" s="64">
        <v>15000</v>
      </c>
      <c r="J12" s="67"/>
      <c r="K12" s="68">
        <f t="shared" ref="K12:M17" si="2">G12-O12</f>
        <v>10000</v>
      </c>
      <c r="L12" s="68">
        <f>H12-P12</f>
        <v>2000</v>
      </c>
      <c r="M12" s="69"/>
      <c r="N12" s="68"/>
      <c r="O12" s="70">
        <v>5000</v>
      </c>
      <c r="P12" s="68">
        <v>13000</v>
      </c>
      <c r="Q12" s="69">
        <v>15000</v>
      </c>
      <c r="T12" s="43"/>
      <c r="U12" s="43"/>
      <c r="V12" s="43" t="s">
        <v>221</v>
      </c>
      <c r="W12" s="67">
        <f t="shared" si="1"/>
        <v>12000</v>
      </c>
      <c r="X12" s="64"/>
      <c r="Y12" s="109"/>
      <c r="Z12" s="68"/>
      <c r="AA12" s="109">
        <v>12000</v>
      </c>
      <c r="AC12" s="109"/>
    </row>
    <row r="13" spans="1:29" x14ac:dyDescent="0.2">
      <c r="A13" s="43"/>
      <c r="B13" s="43"/>
      <c r="C13" s="63" t="s">
        <v>222</v>
      </c>
      <c r="D13" s="64">
        <v>4570</v>
      </c>
      <c r="E13" s="65">
        <v>5777</v>
      </c>
      <c r="F13" s="43"/>
      <c r="G13" s="66">
        <v>6000</v>
      </c>
      <c r="H13" s="64">
        <v>6500</v>
      </c>
      <c r="I13" s="64">
        <v>7000</v>
      </c>
      <c r="J13" s="67"/>
      <c r="K13" s="68">
        <f t="shared" si="2"/>
        <v>6000</v>
      </c>
      <c r="L13" s="68">
        <f>H13-P13</f>
        <v>6500</v>
      </c>
      <c r="M13" s="69">
        <f>I13-Q13</f>
        <v>7000</v>
      </c>
      <c r="N13" s="68"/>
      <c r="O13" s="70"/>
      <c r="P13" s="68"/>
      <c r="Q13" s="69"/>
      <c r="T13" s="43"/>
      <c r="U13" s="43"/>
      <c r="V13" s="43" t="s">
        <v>222</v>
      </c>
      <c r="W13" s="67">
        <f t="shared" si="1"/>
        <v>7000</v>
      </c>
      <c r="X13" s="64"/>
      <c r="Y13" s="109">
        <v>1000</v>
      </c>
      <c r="Z13" s="68"/>
      <c r="AA13" s="109">
        <v>3000</v>
      </c>
      <c r="AC13" s="109">
        <v>3000</v>
      </c>
    </row>
    <row r="14" spans="1:29" x14ac:dyDescent="0.2">
      <c r="A14" s="43"/>
      <c r="B14" s="63" t="s">
        <v>181</v>
      </c>
      <c r="C14" s="43"/>
      <c r="D14" s="66"/>
      <c r="E14" s="65">
        <v>0</v>
      </c>
      <c r="F14" s="43"/>
      <c r="G14" s="66">
        <v>2000</v>
      </c>
      <c r="H14" s="64">
        <v>500</v>
      </c>
      <c r="I14" s="65">
        <v>4000</v>
      </c>
      <c r="J14" s="67"/>
      <c r="K14" s="68">
        <f t="shared" si="2"/>
        <v>2000</v>
      </c>
      <c r="L14" s="68">
        <f t="shared" si="2"/>
        <v>500</v>
      </c>
      <c r="M14" s="69">
        <f t="shared" si="2"/>
        <v>4000</v>
      </c>
      <c r="N14" s="68"/>
      <c r="O14" s="70"/>
      <c r="P14" s="68"/>
      <c r="Q14" s="69"/>
      <c r="T14" s="43"/>
      <c r="U14" s="43" t="s">
        <v>181</v>
      </c>
      <c r="V14" s="43"/>
      <c r="W14" s="67">
        <f t="shared" si="1"/>
        <v>500</v>
      </c>
      <c r="X14" s="64"/>
      <c r="Y14" s="109">
        <v>500</v>
      </c>
      <c r="Z14" s="68"/>
      <c r="AA14" s="109"/>
      <c r="AC14" s="109"/>
    </row>
    <row r="15" spans="1:29" x14ac:dyDescent="0.2">
      <c r="A15" s="43"/>
      <c r="B15" s="63" t="s">
        <v>27</v>
      </c>
      <c r="C15" s="43"/>
      <c r="D15" s="66">
        <v>11618</v>
      </c>
      <c r="E15" s="65">
        <v>3438</v>
      </c>
      <c r="F15" s="43"/>
      <c r="G15" s="66">
        <v>11000</v>
      </c>
      <c r="H15" s="64">
        <v>5000</v>
      </c>
      <c r="I15" s="65">
        <v>5000</v>
      </c>
      <c r="J15" s="67"/>
      <c r="K15" s="68">
        <f t="shared" si="2"/>
        <v>6000</v>
      </c>
      <c r="L15" s="68">
        <f t="shared" si="2"/>
        <v>0</v>
      </c>
      <c r="M15" s="69">
        <f t="shared" si="2"/>
        <v>0</v>
      </c>
      <c r="N15" s="68"/>
      <c r="O15" s="70">
        <v>5000</v>
      </c>
      <c r="P15" s="68">
        <v>5000</v>
      </c>
      <c r="Q15" s="69">
        <v>5000</v>
      </c>
      <c r="T15" s="43"/>
      <c r="U15" s="43" t="s">
        <v>27</v>
      </c>
      <c r="V15" s="43"/>
      <c r="W15" s="67">
        <f t="shared" si="1"/>
        <v>3150</v>
      </c>
      <c r="X15" s="64"/>
      <c r="Y15" s="109"/>
      <c r="Z15" s="68"/>
      <c r="AA15" s="109">
        <v>3150</v>
      </c>
      <c r="AC15" s="109"/>
    </row>
    <row r="16" spans="1:29" x14ac:dyDescent="0.2">
      <c r="A16" s="43"/>
      <c r="B16" s="43" t="s">
        <v>177</v>
      </c>
      <c r="C16" s="63"/>
      <c r="D16" s="64">
        <v>7642</v>
      </c>
      <c r="E16" s="65">
        <v>5286</v>
      </c>
      <c r="F16" s="43"/>
      <c r="G16" s="66">
        <v>3860</v>
      </c>
      <c r="H16" s="64">
        <v>3940</v>
      </c>
      <c r="I16" s="65">
        <v>4010</v>
      </c>
      <c r="J16" s="67"/>
      <c r="K16" s="68">
        <f t="shared" si="2"/>
        <v>600</v>
      </c>
      <c r="L16" s="68">
        <f t="shared" si="2"/>
        <v>680</v>
      </c>
      <c r="M16" s="69">
        <f t="shared" si="2"/>
        <v>750</v>
      </c>
      <c r="N16" s="68"/>
      <c r="O16" s="70">
        <v>3260</v>
      </c>
      <c r="P16" s="68">
        <v>3260</v>
      </c>
      <c r="Q16" s="69">
        <v>3260</v>
      </c>
      <c r="T16" s="43"/>
      <c r="U16" s="43" t="s">
        <v>177</v>
      </c>
      <c r="V16" s="43"/>
      <c r="W16" s="67">
        <f t="shared" si="1"/>
        <v>3940</v>
      </c>
      <c r="X16" s="64"/>
      <c r="Y16" s="109">
        <v>680</v>
      </c>
      <c r="Z16" s="68"/>
      <c r="AA16" s="109">
        <v>3260</v>
      </c>
      <c r="AC16" s="109"/>
    </row>
    <row r="17" spans="1:30" x14ac:dyDescent="0.2">
      <c r="A17" s="43"/>
      <c r="B17" s="43" t="s">
        <v>223</v>
      </c>
      <c r="C17" s="63"/>
      <c r="D17" s="64">
        <v>156</v>
      </c>
      <c r="E17" s="65"/>
      <c r="F17" s="43"/>
      <c r="G17" s="66">
        <v>90</v>
      </c>
      <c r="H17" s="64">
        <v>60</v>
      </c>
      <c r="I17" s="65">
        <v>60</v>
      </c>
      <c r="J17" s="67"/>
      <c r="K17" s="68">
        <f t="shared" si="2"/>
        <v>90</v>
      </c>
      <c r="L17" s="68">
        <f t="shared" si="2"/>
        <v>60</v>
      </c>
      <c r="M17" s="69">
        <f t="shared" si="2"/>
        <v>60</v>
      </c>
      <c r="N17" s="68"/>
      <c r="O17" s="70"/>
      <c r="P17" s="68"/>
      <c r="Q17" s="69"/>
      <c r="T17" s="43"/>
      <c r="U17" s="43" t="s">
        <v>223</v>
      </c>
      <c r="V17" s="43"/>
      <c r="W17" s="67">
        <f t="shared" si="1"/>
        <v>60</v>
      </c>
      <c r="X17" s="64"/>
      <c r="Y17" s="109">
        <v>60</v>
      </c>
      <c r="Z17" s="68"/>
      <c r="AA17" s="109"/>
      <c r="AC17" s="109"/>
    </row>
    <row r="18" spans="1:30" ht="13.5" thickBot="1" x14ac:dyDescent="0.25">
      <c r="A18" s="43"/>
      <c r="B18" s="43"/>
      <c r="C18" s="71" t="s">
        <v>59</v>
      </c>
      <c r="D18" s="72">
        <f>SUM(D6:D17)</f>
        <v>95081</v>
      </c>
      <c r="E18" s="73">
        <f>SUM(E6:E16)</f>
        <v>87201</v>
      </c>
      <c r="F18" s="43"/>
      <c r="G18" s="74">
        <f>SUM(G6:G17)</f>
        <v>90950</v>
      </c>
      <c r="H18" s="72">
        <f>SUM(H6:H17)</f>
        <v>100500</v>
      </c>
      <c r="I18" s="73">
        <f>SUM(I6:I17)</f>
        <v>97270</v>
      </c>
      <c r="J18" s="67"/>
      <c r="K18" s="75">
        <f>SUM(K6:K17)</f>
        <v>70190</v>
      </c>
      <c r="L18" s="76">
        <f>SUM(L6:L17)</f>
        <v>71740</v>
      </c>
      <c r="M18" s="77">
        <f>SUM(M6:M17)</f>
        <v>66510</v>
      </c>
      <c r="N18" s="68"/>
      <c r="O18" s="75">
        <f>SUM(O6:O17)</f>
        <v>20760</v>
      </c>
      <c r="P18" s="76">
        <f>SUM(P6:P17)</f>
        <v>28760</v>
      </c>
      <c r="Q18" s="77">
        <f>SUM(Q6:Q17)</f>
        <v>30760</v>
      </c>
      <c r="T18" s="43"/>
      <c r="U18" s="43"/>
      <c r="V18" s="43"/>
      <c r="W18" s="106">
        <f>SUM(W6:W17)</f>
        <v>91150</v>
      </c>
      <c r="X18" s="64"/>
      <c r="Y18" s="110">
        <f>SUM(Y6:Y17)</f>
        <v>64240</v>
      </c>
      <c r="Z18" s="68"/>
      <c r="AA18" s="110">
        <f>SUM(AA6:AA17)</f>
        <v>23910</v>
      </c>
      <c r="AC18" s="110">
        <f>SUM(AC6:AC17)</f>
        <v>3000</v>
      </c>
    </row>
    <row r="19" spans="1:30" ht="13.5" thickTop="1" x14ac:dyDescent="0.2">
      <c r="A19" s="43"/>
      <c r="B19" s="43"/>
      <c r="C19" s="63"/>
      <c r="D19" s="64"/>
      <c r="E19" s="65"/>
      <c r="F19" s="43"/>
      <c r="G19" s="66"/>
      <c r="H19" s="64"/>
      <c r="I19" s="65"/>
      <c r="J19" s="67"/>
      <c r="K19" s="68"/>
      <c r="L19" s="68"/>
      <c r="M19" s="69"/>
      <c r="N19" s="68"/>
      <c r="O19" s="70"/>
      <c r="P19" s="68"/>
      <c r="Q19" s="69"/>
      <c r="T19" s="43"/>
      <c r="U19" s="43"/>
      <c r="V19" s="43"/>
      <c r="W19" s="67"/>
      <c r="X19" s="64"/>
      <c r="Y19" s="109"/>
      <c r="Z19" s="68"/>
      <c r="AA19" s="109"/>
      <c r="AC19" s="109"/>
    </row>
    <row r="20" spans="1:30" x14ac:dyDescent="0.2">
      <c r="A20" s="55" t="s">
        <v>224</v>
      </c>
      <c r="B20" s="43"/>
      <c r="C20" s="63"/>
      <c r="D20" s="64"/>
      <c r="E20" s="65"/>
      <c r="F20" s="43"/>
      <c r="G20" s="66"/>
      <c r="H20" s="64"/>
      <c r="I20" s="65"/>
      <c r="J20" s="67"/>
      <c r="K20" s="68"/>
      <c r="L20" s="68"/>
      <c r="M20" s="69"/>
      <c r="N20" s="68"/>
      <c r="O20" s="70"/>
      <c r="P20" s="68"/>
      <c r="Q20" s="69"/>
      <c r="T20" s="55" t="s">
        <v>224</v>
      </c>
      <c r="U20" s="43"/>
      <c r="V20" s="43"/>
      <c r="W20" s="67"/>
      <c r="X20" s="64"/>
      <c r="Y20" s="109"/>
      <c r="Z20" s="68"/>
      <c r="AA20" s="109"/>
      <c r="AC20" s="109"/>
    </row>
    <row r="21" spans="1:30" x14ac:dyDescent="0.2">
      <c r="A21" s="55"/>
      <c r="B21" s="43" t="s">
        <v>225</v>
      </c>
      <c r="C21" s="63"/>
      <c r="D21" s="64">
        <v>62257</v>
      </c>
      <c r="E21" s="65">
        <v>56933</v>
      </c>
      <c r="F21" s="43"/>
      <c r="G21" s="66">
        <v>44877</v>
      </c>
      <c r="H21" s="64">
        <v>49500</v>
      </c>
      <c r="I21" s="65">
        <v>50740</v>
      </c>
      <c r="J21" s="67"/>
      <c r="K21" s="68">
        <f t="shared" ref="K21:M30" si="3">G21-O21</f>
        <v>31714</v>
      </c>
      <c r="L21" s="68">
        <f t="shared" si="3"/>
        <v>35500</v>
      </c>
      <c r="M21" s="69">
        <f t="shared" si="3"/>
        <v>34810</v>
      </c>
      <c r="N21" s="68"/>
      <c r="O21" s="70">
        <v>13163</v>
      </c>
      <c r="P21" s="68">
        <v>14000</v>
      </c>
      <c r="Q21" s="69">
        <v>15930</v>
      </c>
      <c r="T21" s="55"/>
      <c r="U21" s="43" t="s">
        <v>225</v>
      </c>
      <c r="V21" s="43"/>
      <c r="W21" s="67">
        <f t="shared" ref="W21:W29" si="4">Y21+AA21+AC21</f>
        <v>49500</v>
      </c>
      <c r="X21" s="64"/>
      <c r="Y21" s="109">
        <v>35000</v>
      </c>
      <c r="Z21" s="68"/>
      <c r="AA21" s="109">
        <v>14500</v>
      </c>
      <c r="AC21" s="109"/>
    </row>
    <row r="22" spans="1:30" x14ac:dyDescent="0.2">
      <c r="A22" s="55"/>
      <c r="B22" s="43" t="s">
        <v>226</v>
      </c>
      <c r="C22" s="63"/>
      <c r="D22" s="64">
        <v>14448</v>
      </c>
      <c r="E22" s="65">
        <v>13810</v>
      </c>
      <c r="F22" s="43"/>
      <c r="G22" s="66">
        <v>14808</v>
      </c>
      <c r="H22" s="64">
        <v>14500</v>
      </c>
      <c r="I22" s="65">
        <v>15500</v>
      </c>
      <c r="J22" s="67"/>
      <c r="K22" s="68">
        <f t="shared" si="3"/>
        <v>14808</v>
      </c>
      <c r="L22" s="68">
        <f t="shared" si="3"/>
        <v>14500</v>
      </c>
      <c r="M22" s="69">
        <f t="shared" si="3"/>
        <v>15500</v>
      </c>
      <c r="N22" s="68"/>
      <c r="O22" s="70"/>
      <c r="P22" s="68"/>
      <c r="Q22" s="69"/>
      <c r="T22" s="55"/>
      <c r="U22" s="43" t="s">
        <v>226</v>
      </c>
      <c r="V22" s="43"/>
      <c r="W22" s="67">
        <f t="shared" si="4"/>
        <v>14500</v>
      </c>
      <c r="X22" s="64"/>
      <c r="Y22" s="109">
        <v>14500</v>
      </c>
      <c r="Z22" s="68"/>
      <c r="AA22" s="109"/>
      <c r="AC22" s="109"/>
    </row>
    <row r="23" spans="1:30" x14ac:dyDescent="0.2">
      <c r="A23" s="55"/>
      <c r="B23" s="43" t="s">
        <v>227</v>
      </c>
      <c r="C23" s="63"/>
      <c r="D23" s="64">
        <v>9454</v>
      </c>
      <c r="E23" s="65">
        <v>7498</v>
      </c>
      <c r="F23" s="43"/>
      <c r="G23" s="66">
        <v>8267</v>
      </c>
      <c r="H23" s="64">
        <v>10000</v>
      </c>
      <c r="I23" s="65">
        <v>8500</v>
      </c>
      <c r="J23" s="67"/>
      <c r="K23" s="68">
        <f t="shared" si="3"/>
        <v>8267</v>
      </c>
      <c r="L23" s="68">
        <f t="shared" si="3"/>
        <v>10000</v>
      </c>
      <c r="M23" s="69">
        <f t="shared" si="3"/>
        <v>8500</v>
      </c>
      <c r="N23" s="68"/>
      <c r="O23" s="70"/>
      <c r="P23" s="68"/>
      <c r="Q23" s="69"/>
      <c r="T23" s="55"/>
      <c r="U23" s="43" t="s">
        <v>227</v>
      </c>
      <c r="V23" s="43"/>
      <c r="W23" s="67">
        <f t="shared" si="4"/>
        <v>11000</v>
      </c>
      <c r="X23" s="64"/>
      <c r="Y23" s="109">
        <v>11000</v>
      </c>
      <c r="Z23" s="68"/>
      <c r="AA23" s="109"/>
      <c r="AC23" s="109"/>
    </row>
    <row r="24" spans="1:30" x14ac:dyDescent="0.2">
      <c r="A24" s="55"/>
      <c r="B24" s="43" t="s">
        <v>228</v>
      </c>
      <c r="C24" s="63"/>
      <c r="D24" s="64">
        <v>7892</v>
      </c>
      <c r="E24" s="65">
        <v>3064</v>
      </c>
      <c r="F24" s="43"/>
      <c r="G24" s="66">
        <v>3194</v>
      </c>
      <c r="H24" s="64">
        <v>3200</v>
      </c>
      <c r="I24" s="65">
        <v>3200</v>
      </c>
      <c r="J24" s="67"/>
      <c r="K24" s="68">
        <f t="shared" si="3"/>
        <v>3114</v>
      </c>
      <c r="L24" s="68">
        <f t="shared" si="3"/>
        <v>3120</v>
      </c>
      <c r="M24" s="69">
        <f t="shared" si="3"/>
        <v>3120</v>
      </c>
      <c r="N24" s="68"/>
      <c r="O24" s="70">
        <v>80</v>
      </c>
      <c r="P24" s="68">
        <v>80</v>
      </c>
      <c r="Q24" s="69">
        <v>80</v>
      </c>
      <c r="T24" s="55"/>
      <c r="U24" s="43" t="s">
        <v>228</v>
      </c>
      <c r="V24" s="43"/>
      <c r="W24" s="67">
        <f t="shared" si="4"/>
        <v>7700</v>
      </c>
      <c r="X24" s="64"/>
      <c r="Y24" s="109">
        <v>4920</v>
      </c>
      <c r="Z24" s="68"/>
      <c r="AA24" s="109">
        <v>80</v>
      </c>
      <c r="AC24" s="109">
        <v>2700</v>
      </c>
    </row>
    <row r="25" spans="1:30" x14ac:dyDescent="0.2">
      <c r="A25" s="55"/>
      <c r="B25" s="43" t="s">
        <v>229</v>
      </c>
      <c r="C25" s="63"/>
      <c r="D25" s="64">
        <v>4460</v>
      </c>
      <c r="E25" s="65">
        <v>4578</v>
      </c>
      <c r="F25" s="43"/>
      <c r="G25" s="66">
        <v>3101</v>
      </c>
      <c r="H25" s="64">
        <v>3100</v>
      </c>
      <c r="I25" s="65">
        <v>3100</v>
      </c>
      <c r="J25" s="67"/>
      <c r="K25" s="68">
        <f t="shared" si="3"/>
        <v>2981</v>
      </c>
      <c r="L25" s="68">
        <f t="shared" si="3"/>
        <v>2980</v>
      </c>
      <c r="M25" s="69">
        <f t="shared" si="3"/>
        <v>2980</v>
      </c>
      <c r="N25" s="68"/>
      <c r="O25" s="70">
        <v>120</v>
      </c>
      <c r="P25" s="68">
        <v>120</v>
      </c>
      <c r="Q25" s="69">
        <v>120</v>
      </c>
      <c r="T25" s="55"/>
      <c r="U25" s="43" t="s">
        <v>229</v>
      </c>
      <c r="V25" s="43"/>
      <c r="W25" s="67">
        <f t="shared" si="4"/>
        <v>4000</v>
      </c>
      <c r="X25" s="64"/>
      <c r="Y25" s="109">
        <v>3880</v>
      </c>
      <c r="Z25" s="68"/>
      <c r="AA25" s="109">
        <v>120</v>
      </c>
      <c r="AC25" s="109"/>
      <c r="AD25" s="2"/>
    </row>
    <row r="26" spans="1:30" x14ac:dyDescent="0.2">
      <c r="A26" s="55"/>
      <c r="B26" s="43" t="s">
        <v>230</v>
      </c>
      <c r="C26" s="63"/>
      <c r="D26" s="64">
        <v>586</v>
      </c>
      <c r="E26" s="65">
        <v>377</v>
      </c>
      <c r="F26" s="43"/>
      <c r="G26" s="66">
        <v>1150</v>
      </c>
      <c r="H26" s="64">
        <v>1200</v>
      </c>
      <c r="I26" s="65">
        <v>1250</v>
      </c>
      <c r="J26" s="67"/>
      <c r="K26" s="68">
        <f t="shared" si="3"/>
        <v>1150</v>
      </c>
      <c r="L26" s="68">
        <f t="shared" si="3"/>
        <v>1200</v>
      </c>
      <c r="M26" s="69">
        <f t="shared" si="3"/>
        <v>1250</v>
      </c>
      <c r="N26" s="68"/>
      <c r="O26" s="70"/>
      <c r="P26" s="68"/>
      <c r="Q26" s="69"/>
      <c r="T26" s="55"/>
      <c r="U26" s="43" t="s">
        <v>230</v>
      </c>
      <c r="V26" s="43"/>
      <c r="W26" s="67">
        <f t="shared" si="4"/>
        <v>1500</v>
      </c>
      <c r="X26" s="64"/>
      <c r="Y26" s="109">
        <v>1200</v>
      </c>
      <c r="Z26" s="68"/>
      <c r="AA26" s="109"/>
      <c r="AC26" s="109">
        <v>300</v>
      </c>
    </row>
    <row r="27" spans="1:30" x14ac:dyDescent="0.2">
      <c r="A27" s="55"/>
      <c r="B27" s="43" t="s">
        <v>231</v>
      </c>
      <c r="C27" s="63"/>
      <c r="D27" s="64">
        <v>1741</v>
      </c>
      <c r="E27" s="65">
        <v>1035</v>
      </c>
      <c r="F27" s="43"/>
      <c r="G27" s="66">
        <v>1241</v>
      </c>
      <c r="H27" s="64">
        <v>1500</v>
      </c>
      <c r="I27" s="65">
        <v>2000</v>
      </c>
      <c r="J27" s="67"/>
      <c r="K27" s="68"/>
      <c r="L27" s="68"/>
      <c r="M27" s="69"/>
      <c r="N27" s="68"/>
      <c r="O27" s="70">
        <v>1241</v>
      </c>
      <c r="P27" s="68">
        <f>H27</f>
        <v>1500</v>
      </c>
      <c r="Q27" s="69">
        <f>I27</f>
        <v>2000</v>
      </c>
      <c r="T27" s="55"/>
      <c r="U27" s="43" t="s">
        <v>231</v>
      </c>
      <c r="V27" s="43"/>
      <c r="W27" s="67">
        <f t="shared" si="4"/>
        <v>1700</v>
      </c>
      <c r="X27" s="64"/>
      <c r="Y27" s="109"/>
      <c r="Z27" s="68"/>
      <c r="AA27" s="109">
        <v>1700</v>
      </c>
      <c r="AC27" s="109"/>
    </row>
    <row r="28" spans="1:30" x14ac:dyDescent="0.2">
      <c r="A28" s="55"/>
      <c r="B28" s="43" t="s">
        <v>232</v>
      </c>
      <c r="C28" s="63"/>
      <c r="D28" s="64">
        <v>3100</v>
      </c>
      <c r="E28" s="65">
        <v>0</v>
      </c>
      <c r="F28" s="43"/>
      <c r="G28" s="66">
        <v>11800</v>
      </c>
      <c r="H28" s="64">
        <v>10000</v>
      </c>
      <c r="I28" s="65">
        <v>11000</v>
      </c>
      <c r="J28" s="67"/>
      <c r="K28" s="68">
        <f t="shared" si="3"/>
        <v>7800</v>
      </c>
      <c r="L28" s="68"/>
      <c r="M28" s="69"/>
      <c r="N28" s="68"/>
      <c r="O28" s="70">
        <v>4000</v>
      </c>
      <c r="P28" s="68">
        <f>H28</f>
        <v>10000</v>
      </c>
      <c r="Q28" s="69">
        <f>I28</f>
        <v>11000</v>
      </c>
      <c r="T28" s="55"/>
      <c r="U28" s="43" t="s">
        <v>232</v>
      </c>
      <c r="V28" s="43"/>
      <c r="W28" s="67">
        <f t="shared" si="4"/>
        <v>3000</v>
      </c>
      <c r="X28" s="64"/>
      <c r="Y28" s="109"/>
      <c r="Z28" s="68"/>
      <c r="AA28" s="109">
        <v>3000</v>
      </c>
      <c r="AC28" s="109"/>
    </row>
    <row r="29" spans="1:30" x14ac:dyDescent="0.2">
      <c r="A29" s="55"/>
      <c r="B29" s="43" t="s">
        <v>6</v>
      </c>
      <c r="C29" s="63"/>
      <c r="D29" s="64">
        <v>710</v>
      </c>
      <c r="E29" s="65">
        <v>613</v>
      </c>
      <c r="F29" s="43"/>
      <c r="G29" s="66">
        <v>613</v>
      </c>
      <c r="H29" s="64">
        <v>700</v>
      </c>
      <c r="I29" s="65">
        <v>650</v>
      </c>
      <c r="J29" s="67"/>
      <c r="K29" s="68">
        <f t="shared" si="3"/>
        <v>473.07828477185268</v>
      </c>
      <c r="L29" s="68">
        <f t="shared" si="3"/>
        <v>499.68159203980099</v>
      </c>
      <c r="M29" s="69">
        <f t="shared" si="3"/>
        <v>444.4484424796957</v>
      </c>
      <c r="N29" s="68"/>
      <c r="O29" s="70">
        <f>O18*G29/G18</f>
        <v>139.92171522814732</v>
      </c>
      <c r="P29" s="68">
        <f>P18*H29/H18</f>
        <v>200.31840796019901</v>
      </c>
      <c r="Q29" s="69">
        <f>Q18*I29/I18</f>
        <v>205.5515575203043</v>
      </c>
      <c r="T29" s="55"/>
      <c r="U29" s="43" t="s">
        <v>6</v>
      </c>
      <c r="V29" s="43"/>
      <c r="W29" s="67">
        <f t="shared" si="4"/>
        <v>700</v>
      </c>
      <c r="X29" s="64"/>
      <c r="Y29" s="109">
        <v>500</v>
      </c>
      <c r="Z29" s="68"/>
      <c r="AA29" s="109">
        <v>200</v>
      </c>
      <c r="AC29" s="109"/>
    </row>
    <row r="30" spans="1:30" x14ac:dyDescent="0.2">
      <c r="A30" s="55"/>
      <c r="B30" s="43" t="s">
        <v>233</v>
      </c>
      <c r="C30" s="63"/>
      <c r="D30" s="64"/>
      <c r="E30" s="65">
        <v>-160</v>
      </c>
      <c r="F30" s="43"/>
      <c r="G30" s="66"/>
      <c r="H30" s="64"/>
      <c r="I30" s="65"/>
      <c r="J30" s="67"/>
      <c r="K30" s="68">
        <f t="shared" si="3"/>
        <v>-1500</v>
      </c>
      <c r="L30" s="68">
        <f t="shared" si="3"/>
        <v>-1500</v>
      </c>
      <c r="M30" s="69">
        <f t="shared" si="3"/>
        <v>-1500</v>
      </c>
      <c r="N30" s="68"/>
      <c r="O30" s="70">
        <v>1500</v>
      </c>
      <c r="P30" s="68">
        <v>1500</v>
      </c>
      <c r="Q30" s="69">
        <v>1500</v>
      </c>
      <c r="T30" s="55"/>
      <c r="U30" s="43" t="s">
        <v>233</v>
      </c>
      <c r="V30" s="43"/>
      <c r="W30" s="67"/>
      <c r="X30" s="64"/>
      <c r="Y30" s="109">
        <f>W30-AA30</f>
        <v>-1500</v>
      </c>
      <c r="Z30" s="68"/>
      <c r="AA30" s="109">
        <v>1500</v>
      </c>
      <c r="AC30" s="109"/>
    </row>
    <row r="31" spans="1:30" x14ac:dyDescent="0.2">
      <c r="A31" s="55"/>
      <c r="B31" s="43" t="s">
        <v>234</v>
      </c>
      <c r="C31" s="63"/>
      <c r="D31" s="64"/>
      <c r="E31" s="65">
        <v>3000</v>
      </c>
      <c r="F31" s="43"/>
      <c r="G31" s="66"/>
      <c r="H31" s="64"/>
      <c r="I31" s="65"/>
      <c r="J31" s="67"/>
      <c r="K31" s="68"/>
      <c r="L31" s="68"/>
      <c r="M31" s="78"/>
      <c r="N31" s="68"/>
      <c r="O31" s="70"/>
      <c r="P31" s="68"/>
      <c r="Q31" s="69"/>
      <c r="T31" s="55"/>
      <c r="U31" s="43" t="s">
        <v>234</v>
      </c>
      <c r="V31" s="43"/>
      <c r="W31" s="67"/>
      <c r="X31" s="64"/>
      <c r="Y31" s="109"/>
      <c r="Z31" s="68"/>
      <c r="AA31" s="109"/>
      <c r="AC31" s="109"/>
    </row>
    <row r="32" spans="1:30" x14ac:dyDescent="0.2">
      <c r="A32" s="55"/>
      <c r="B32" s="43"/>
      <c r="C32" s="71" t="s">
        <v>235</v>
      </c>
      <c r="D32" s="79">
        <f>SUM(D21:D31)</f>
        <v>104648</v>
      </c>
      <c r="E32" s="80">
        <f>SUM(E21:E31)</f>
        <v>90748</v>
      </c>
      <c r="F32" s="43"/>
      <c r="G32" s="81">
        <f>SUM(G21:G31)</f>
        <v>89051</v>
      </c>
      <c r="H32" s="79">
        <f>SUM(H21:H31)</f>
        <v>93700</v>
      </c>
      <c r="I32" s="80">
        <f>SUM(I21:I31)</f>
        <v>95940</v>
      </c>
      <c r="J32" s="67"/>
      <c r="K32" s="82">
        <f>SUM(K21:K31)</f>
        <v>68807.078284771851</v>
      </c>
      <c r="L32" s="82">
        <f>SUM(L21:L31)</f>
        <v>66299.681592039808</v>
      </c>
      <c r="M32" s="83">
        <f>SUM(M21:M31)</f>
        <v>65104.448442479697</v>
      </c>
      <c r="N32" s="68"/>
      <c r="O32" s="84">
        <f>SUM(O21:O31)</f>
        <v>20243.921715228149</v>
      </c>
      <c r="P32" s="82">
        <f>SUM(P21:P31)</f>
        <v>27400.3184079602</v>
      </c>
      <c r="Q32" s="83">
        <f>SUM(Q21:Q31)</f>
        <v>30835.551557520303</v>
      </c>
      <c r="T32" s="55"/>
      <c r="U32" s="43"/>
      <c r="V32" s="105"/>
      <c r="W32" s="107">
        <f>SUM(W21:W31)</f>
        <v>93600</v>
      </c>
      <c r="X32" s="64"/>
      <c r="Y32" s="111">
        <f>SUM(Y21:Y31)</f>
        <v>69500</v>
      </c>
      <c r="Z32" s="68"/>
      <c r="AA32" s="111">
        <f>SUM(AA21:AA31)</f>
        <v>21100</v>
      </c>
      <c r="AC32" s="111">
        <f>SUM(AC21:AC31)</f>
        <v>3000</v>
      </c>
    </row>
    <row r="33" spans="1:29" x14ac:dyDescent="0.2">
      <c r="A33" s="55"/>
      <c r="B33" s="43"/>
      <c r="C33" s="63"/>
      <c r="D33" s="64"/>
      <c r="E33" s="65"/>
      <c r="F33" s="43"/>
      <c r="G33" s="66"/>
      <c r="H33" s="64"/>
      <c r="I33" s="65"/>
      <c r="J33" s="67"/>
      <c r="K33" s="68"/>
      <c r="L33" s="68"/>
      <c r="M33" s="78"/>
      <c r="N33" s="68"/>
      <c r="O33" s="70"/>
      <c r="P33" s="68"/>
      <c r="Q33" s="78"/>
      <c r="T33" s="55"/>
      <c r="U33" s="43"/>
      <c r="V33" s="43"/>
      <c r="W33" s="67"/>
      <c r="X33" s="64"/>
      <c r="Y33" s="109"/>
      <c r="Z33" s="68"/>
      <c r="AA33" s="109"/>
      <c r="AC33" s="109"/>
    </row>
    <row r="34" spans="1:29" ht="13.5" thickBot="1" x14ac:dyDescent="0.25">
      <c r="A34" s="55"/>
      <c r="B34" s="43"/>
      <c r="C34" s="85" t="s">
        <v>236</v>
      </c>
      <c r="D34" s="74" t="e">
        <f>D18-#REF!</f>
        <v>#REF!</v>
      </c>
      <c r="E34" s="73" t="e">
        <f>E18-#REF!</f>
        <v>#REF!</v>
      </c>
      <c r="F34" s="43"/>
      <c r="G34" s="74" t="e">
        <f>G18-#REF!</f>
        <v>#REF!</v>
      </c>
      <c r="H34" s="72" t="e">
        <f>H18-#REF!</f>
        <v>#REF!</v>
      </c>
      <c r="I34" s="73" t="e">
        <f>I18-#REF!</f>
        <v>#REF!</v>
      </c>
      <c r="J34" s="67"/>
      <c r="K34" s="76" t="e">
        <f>K18-#REF!</f>
        <v>#REF!</v>
      </c>
      <c r="L34" s="76" t="e">
        <f>L18-#REF!</f>
        <v>#REF!</v>
      </c>
      <c r="M34" s="77" t="e">
        <f>M18-#REF!</f>
        <v>#REF!</v>
      </c>
      <c r="N34" s="68"/>
      <c r="O34" s="75" t="e">
        <f>O18-#REF!</f>
        <v>#REF!</v>
      </c>
      <c r="P34" s="76" t="e">
        <f>P18-#REF!</f>
        <v>#REF!</v>
      </c>
      <c r="Q34" s="77" t="e">
        <f>Q18-#REF!</f>
        <v>#REF!</v>
      </c>
      <c r="T34" s="55"/>
      <c r="U34" s="43"/>
      <c r="V34" s="89" t="s">
        <v>236</v>
      </c>
      <c r="W34" s="103">
        <f>W18-W32</f>
        <v>-2450</v>
      </c>
      <c r="X34" s="64"/>
      <c r="Y34" s="103">
        <f>Y18-Y32</f>
        <v>-5260</v>
      </c>
      <c r="Z34" s="68"/>
      <c r="AA34" s="103">
        <f>AA18-AA32</f>
        <v>2810</v>
      </c>
      <c r="AC34" s="103">
        <f>AC18-AC32</f>
        <v>0</v>
      </c>
    </row>
    <row r="35" spans="1:29" ht="13.5" thickTop="1" x14ac:dyDescent="0.2">
      <c r="A35" s="55"/>
      <c r="B35" s="43"/>
      <c r="C35" s="43"/>
      <c r="D35" s="64"/>
      <c r="E35" s="64"/>
      <c r="F35" s="43"/>
      <c r="G35" s="64"/>
      <c r="H35" s="64"/>
      <c r="I35" s="65"/>
      <c r="J35" s="46"/>
      <c r="K35" s="86"/>
      <c r="L35" s="86"/>
      <c r="M35" s="87"/>
      <c r="N35" s="86"/>
      <c r="O35" s="88"/>
      <c r="P35" s="86"/>
      <c r="Q35" s="87"/>
      <c r="T35" s="55"/>
    </row>
    <row r="36" spans="1:29" ht="13.5" thickBot="1" x14ac:dyDescent="0.25">
      <c r="A36" s="55"/>
      <c r="B36" s="43"/>
      <c r="C36" s="89" t="s">
        <v>237</v>
      </c>
      <c r="D36" s="64"/>
      <c r="E36" s="64"/>
      <c r="F36" s="43"/>
      <c r="G36" s="74" t="e">
        <f>G34</f>
        <v>#REF!</v>
      </c>
      <c r="H36" s="72" t="e">
        <f>G36+H34</f>
        <v>#REF!</v>
      </c>
      <c r="I36" s="72" t="e">
        <f>H36+I34</f>
        <v>#REF!</v>
      </c>
      <c r="J36" s="67"/>
      <c r="K36" s="75" t="e">
        <f>K34</f>
        <v>#REF!</v>
      </c>
      <c r="L36" s="72" t="e">
        <f>K36+L34</f>
        <v>#REF!</v>
      </c>
      <c r="M36" s="73" t="e">
        <f>L36+M34</f>
        <v>#REF!</v>
      </c>
      <c r="N36" s="64"/>
      <c r="O36" s="75" t="e">
        <f>O34</f>
        <v>#REF!</v>
      </c>
      <c r="P36" s="72" t="e">
        <f>O36+P34</f>
        <v>#REF!</v>
      </c>
      <c r="Q36" s="73" t="e">
        <f>P36+Q34</f>
        <v>#REF!</v>
      </c>
      <c r="T36" s="55"/>
    </row>
    <row r="37" spans="1:29" ht="13.5" thickTop="1" x14ac:dyDescent="0.2"/>
  </sheetData>
  <sheetProtection selectLockedCells="1" selectUnlockedCells="1"/>
  <mergeCells count="3">
    <mergeCell ref="G3:I3"/>
    <mergeCell ref="K3:M3"/>
    <mergeCell ref="O3:Q3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204AF-FD98-4777-85E7-2A34F2EA3542}">
  <sheetPr>
    <tabColor theme="3" tint="0.39997558519241921"/>
  </sheetPr>
  <dimension ref="A1:F5"/>
  <sheetViews>
    <sheetView workbookViewId="0">
      <selection activeCell="A3" sqref="A3:D3"/>
    </sheetView>
  </sheetViews>
  <sheetFormatPr defaultRowHeight="12.75" x14ac:dyDescent="0.2"/>
  <cols>
    <col min="2" max="2" width="24.5703125" bestFit="1" customWidth="1"/>
    <col min="3" max="3" width="17.28515625" bestFit="1" customWidth="1"/>
    <col min="5" max="5" width="14.7109375" bestFit="1" customWidth="1"/>
    <col min="6" max="6" width="10.140625" bestFit="1" customWidth="1"/>
  </cols>
  <sheetData>
    <row r="1" spans="1:6" ht="15" x14ac:dyDescent="0.25">
      <c r="A1" s="139"/>
      <c r="B1" s="139" t="s">
        <v>346</v>
      </c>
      <c r="C1" s="139"/>
      <c r="D1" s="140" t="s">
        <v>7</v>
      </c>
      <c r="F1" s="143">
        <v>43555</v>
      </c>
    </row>
    <row r="2" spans="1:6" x14ac:dyDescent="0.2">
      <c r="D2" s="141"/>
      <c r="E2" s="4" t="s">
        <v>362</v>
      </c>
    </row>
    <row r="3" spans="1:6" x14ac:dyDescent="0.2">
      <c r="B3" s="17"/>
      <c r="D3" s="141"/>
      <c r="E3" s="166"/>
    </row>
    <row r="4" spans="1:6" ht="15.75" thickBot="1" x14ac:dyDescent="0.3">
      <c r="D4" s="142"/>
    </row>
    <row r="5" spans="1:6" ht="13.5" thickTop="1" x14ac:dyDescent="0.2"/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39997558519241921"/>
  </sheetPr>
  <dimension ref="A1:D9"/>
  <sheetViews>
    <sheetView workbookViewId="0">
      <selection activeCell="J41" sqref="J41"/>
    </sheetView>
  </sheetViews>
  <sheetFormatPr defaultRowHeight="12.75" x14ac:dyDescent="0.2"/>
  <cols>
    <col min="2" max="2" width="49.85546875" bestFit="1" customWidth="1"/>
    <col min="4" max="4" width="11.85546875" customWidth="1"/>
    <col min="6" max="6" width="10.140625" bestFit="1" customWidth="1"/>
  </cols>
  <sheetData>
    <row r="1" spans="1:4" ht="15" x14ac:dyDescent="0.25">
      <c r="A1" s="139"/>
      <c r="B1" s="139" t="s">
        <v>345</v>
      </c>
      <c r="C1" s="140" t="s">
        <v>7</v>
      </c>
      <c r="D1" s="96">
        <f>'H4 20-21 summary'!D3</f>
        <v>45138</v>
      </c>
    </row>
    <row r="2" spans="1:4" x14ac:dyDescent="0.2">
      <c r="C2" s="141"/>
    </row>
    <row r="3" spans="1:4" x14ac:dyDescent="0.2">
      <c r="C3" s="165"/>
    </row>
    <row r="4" spans="1:4" x14ac:dyDescent="0.2">
      <c r="A4">
        <v>4130</v>
      </c>
      <c r="B4" t="s">
        <v>365</v>
      </c>
      <c r="C4" s="165">
        <v>500</v>
      </c>
      <c r="D4" s="13"/>
    </row>
    <row r="5" spans="1:4" x14ac:dyDescent="0.2">
      <c r="C5" s="165"/>
      <c r="D5" s="13"/>
    </row>
    <row r="6" spans="1:4" x14ac:dyDescent="0.2">
      <c r="C6" s="165"/>
      <c r="D6" s="13"/>
    </row>
    <row r="7" spans="1:4" x14ac:dyDescent="0.2">
      <c r="C7" s="141"/>
    </row>
    <row r="8" spans="1:4" ht="15.75" thickBot="1" x14ac:dyDescent="0.3">
      <c r="C8" s="142">
        <f>SUM(C3:C7)</f>
        <v>500</v>
      </c>
    </row>
    <row r="9" spans="1:4" ht="13.5" thickTop="1" x14ac:dyDescent="0.2">
      <c r="C9" s="141"/>
    </row>
  </sheetData>
  <pageMargins left="0.7" right="0.7" top="0.75" bottom="0.75" header="0.3" footer="0.3"/>
  <pageSetup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337D-A713-4148-B978-5950475E99F5}">
  <sheetPr>
    <tabColor rgb="FFFF0000"/>
  </sheetPr>
  <dimension ref="A1:T27"/>
  <sheetViews>
    <sheetView workbookViewId="0">
      <selection activeCell="H41" sqref="H41"/>
    </sheetView>
  </sheetViews>
  <sheetFormatPr defaultRowHeight="12.75" x14ac:dyDescent="0.2"/>
  <cols>
    <col min="2" max="2" width="9.140625" style="186"/>
    <col min="3" max="3" width="9.140625" style="187"/>
    <col min="5" max="5" width="9" customWidth="1"/>
    <col min="6" max="6" width="13.140625" style="141" customWidth="1"/>
    <col min="7" max="7" width="37.42578125" style="141" customWidth="1"/>
    <col min="8" max="8" width="9.140625" style="179"/>
    <col min="9" max="9" width="15" style="141" hidden="1" customWidth="1"/>
    <col min="10" max="10" width="15.140625" style="141" hidden="1" customWidth="1"/>
    <col min="11" max="11" width="11.85546875" style="141" hidden="1" customWidth="1"/>
    <col min="12" max="12" width="17.42578125" style="141" customWidth="1"/>
    <col min="13" max="13" width="1.28515625" customWidth="1"/>
    <col min="14" max="14" width="10.140625" style="2" bestFit="1" customWidth="1"/>
    <col min="15" max="16" width="9.140625" style="2"/>
    <col min="19" max="19" width="3.5703125" customWidth="1"/>
  </cols>
  <sheetData>
    <row r="1" spans="1:20" ht="18" x14ac:dyDescent="0.25">
      <c r="A1" s="5" t="s">
        <v>378</v>
      </c>
      <c r="B1" s="177"/>
      <c r="C1" s="178"/>
      <c r="D1" s="5"/>
    </row>
    <row r="3" spans="1:20" x14ac:dyDescent="0.2">
      <c r="B3" s="180" t="s">
        <v>379</v>
      </c>
      <c r="C3" s="181" t="s">
        <v>380</v>
      </c>
      <c r="D3" s="182" t="s">
        <v>381</v>
      </c>
      <c r="F3" s="183" t="s">
        <v>382</v>
      </c>
      <c r="G3" s="184" t="s">
        <v>383</v>
      </c>
      <c r="I3" s="183" t="s">
        <v>384</v>
      </c>
      <c r="J3" s="183" t="s">
        <v>385</v>
      </c>
      <c r="K3" s="183" t="s">
        <v>386</v>
      </c>
      <c r="L3" s="183" t="s">
        <v>387</v>
      </c>
      <c r="N3" s="185" t="s">
        <v>388</v>
      </c>
      <c r="O3" s="185" t="s">
        <v>389</v>
      </c>
      <c r="P3" s="185" t="s">
        <v>390</v>
      </c>
      <c r="R3" s="185" t="s">
        <v>406</v>
      </c>
    </row>
    <row r="4" spans="1:20" x14ac:dyDescent="0.2">
      <c r="G4" s="188" t="s">
        <v>391</v>
      </c>
      <c r="H4" s="189">
        <v>0.02</v>
      </c>
      <c r="N4" s="190">
        <v>0.7</v>
      </c>
      <c r="O4" s="190">
        <v>0.2</v>
      </c>
      <c r="P4" s="190">
        <v>0.1</v>
      </c>
      <c r="R4" t="s">
        <v>407</v>
      </c>
    </row>
    <row r="5" spans="1:20" x14ac:dyDescent="0.2">
      <c r="H5" s="189"/>
      <c r="N5" s="185"/>
      <c r="O5" s="185"/>
      <c r="P5" s="185"/>
    </row>
    <row r="6" spans="1:20" x14ac:dyDescent="0.2">
      <c r="A6" t="s">
        <v>392</v>
      </c>
      <c r="B6" s="186">
        <v>30</v>
      </c>
      <c r="C6" s="187">
        <v>17</v>
      </c>
      <c r="D6">
        <v>52</v>
      </c>
      <c r="F6" s="141">
        <f>B6*C6*D6</f>
        <v>26520</v>
      </c>
      <c r="H6" s="191">
        <f>$H$4</f>
        <v>0.02</v>
      </c>
      <c r="I6" s="141">
        <f>ROUND(F6*(1+H6),0)</f>
        <v>27050</v>
      </c>
      <c r="J6" s="141">
        <f>0.75*F6+0.25*I6</f>
        <v>26652.5</v>
      </c>
      <c r="K6" s="141">
        <v>1810</v>
      </c>
      <c r="L6" s="141">
        <f>ROUND(J6+K6,0)</f>
        <v>28463</v>
      </c>
      <c r="N6" s="185">
        <f>ROUND($L6*N4,0)</f>
        <v>19924</v>
      </c>
      <c r="O6" s="185">
        <f>ROUND($L6*O4,0)</f>
        <v>5693</v>
      </c>
      <c r="P6" s="185">
        <f>ROUND($L6*P4,0)</f>
        <v>2846</v>
      </c>
      <c r="R6" s="187">
        <f>L6/12</f>
        <v>2371.9166666666665</v>
      </c>
    </row>
    <row r="7" spans="1:20" x14ac:dyDescent="0.2">
      <c r="A7" t="s">
        <v>393</v>
      </c>
      <c r="B7" s="186">
        <v>20</v>
      </c>
      <c r="C7" s="187">
        <v>11</v>
      </c>
      <c r="D7">
        <v>52</v>
      </c>
      <c r="F7" s="141">
        <f>B7*C7*D7</f>
        <v>11440</v>
      </c>
      <c r="H7" s="191">
        <f>$H$4</f>
        <v>0.02</v>
      </c>
      <c r="I7" s="141">
        <f>ROUND(F7*(1+H7),0)</f>
        <v>11669</v>
      </c>
      <c r="J7" s="141">
        <f>0.75*F7+0.25*I7</f>
        <v>11497.25</v>
      </c>
      <c r="K7" s="141">
        <v>420</v>
      </c>
      <c r="L7" s="141">
        <f>ROUND(J7+K7,0)</f>
        <v>11917</v>
      </c>
      <c r="R7" s="187">
        <f>L7/12</f>
        <v>993.08333333333337</v>
      </c>
    </row>
    <row r="8" spans="1:20" x14ac:dyDescent="0.2">
      <c r="A8" t="s">
        <v>394</v>
      </c>
      <c r="B8" s="186">
        <v>12</v>
      </c>
      <c r="C8" s="187">
        <v>12</v>
      </c>
      <c r="D8">
        <v>52</v>
      </c>
      <c r="F8" s="141">
        <f>B8*C8*D8</f>
        <v>7488</v>
      </c>
      <c r="H8" s="191">
        <f>$H$4</f>
        <v>0.02</v>
      </c>
      <c r="I8" s="141">
        <f>ROUND(F8*(1+H8),0)</f>
        <v>7638</v>
      </c>
      <c r="J8" s="141">
        <f>0.75*F8+0.25*I8</f>
        <v>7525.5</v>
      </c>
      <c r="L8" s="141">
        <f>ROUND(J8+K8,0)</f>
        <v>7526</v>
      </c>
      <c r="R8" s="187">
        <f>L8/12</f>
        <v>627.16666666666663</v>
      </c>
    </row>
    <row r="9" spans="1:20" x14ac:dyDescent="0.2">
      <c r="A9" t="s">
        <v>395</v>
      </c>
      <c r="B9" s="186">
        <v>15</v>
      </c>
      <c r="C9" s="187">
        <v>9.5</v>
      </c>
      <c r="D9">
        <v>52</v>
      </c>
      <c r="F9" s="141">
        <f>B9*C9*D9</f>
        <v>7410</v>
      </c>
      <c r="G9" s="141" t="s">
        <v>396</v>
      </c>
      <c r="H9" s="189">
        <f>I9/F9-1</f>
        <v>-5.2631578947368474E-2</v>
      </c>
      <c r="I9" s="141">
        <v>7020</v>
      </c>
      <c r="J9" s="141">
        <f>0.75*F9+0.25*I9</f>
        <v>7312.5</v>
      </c>
      <c r="L9" s="141">
        <f>ROUND(J9+K9,0)</f>
        <v>7313</v>
      </c>
      <c r="R9" s="187">
        <f>L9/12</f>
        <v>609.41666666666663</v>
      </c>
    </row>
    <row r="10" spans="1:20" x14ac:dyDescent="0.2">
      <c r="F10" s="192">
        <f>SUM(F6:F9)</f>
        <v>52858</v>
      </c>
      <c r="I10" s="192">
        <f>SUM(I6:I9)</f>
        <v>53377</v>
      </c>
      <c r="J10" s="192">
        <f>SUM(J6:J9)</f>
        <v>52987.75</v>
      </c>
      <c r="K10" s="192">
        <f>SUM(K6:K9)</f>
        <v>2230</v>
      </c>
      <c r="L10" s="192">
        <f>SUM(L6:L9)</f>
        <v>55219</v>
      </c>
    </row>
    <row r="12" spans="1:20" x14ac:dyDescent="0.2">
      <c r="A12" t="s">
        <v>397</v>
      </c>
      <c r="B12" s="186">
        <v>6.5</v>
      </c>
      <c r="C12" s="187">
        <v>14.5</v>
      </c>
      <c r="D12">
        <v>52</v>
      </c>
      <c r="F12" s="141">
        <f>B12*C12*D12</f>
        <v>4901</v>
      </c>
      <c r="G12" s="141" t="s">
        <v>398</v>
      </c>
      <c r="H12" s="189">
        <f>I12/F12-1</f>
        <v>3.4482758620689724E-2</v>
      </c>
      <c r="I12" s="141">
        <v>5070</v>
      </c>
      <c r="J12" s="141">
        <f>0.75*F12+0.25*I12</f>
        <v>4943.25</v>
      </c>
      <c r="L12" s="141">
        <f>ROUND(J12+K12,0)</f>
        <v>4943</v>
      </c>
      <c r="R12" s="187">
        <f>L12/12</f>
        <v>411.91666666666669</v>
      </c>
    </row>
    <row r="13" spans="1:20" x14ac:dyDescent="0.2">
      <c r="A13" t="s">
        <v>399</v>
      </c>
      <c r="B13" s="186">
        <v>9.5</v>
      </c>
      <c r="C13" s="187">
        <v>12</v>
      </c>
      <c r="D13">
        <v>39</v>
      </c>
      <c r="F13" s="141">
        <f>B13*C13*D13</f>
        <v>4446</v>
      </c>
      <c r="H13" s="191">
        <f>$H$4</f>
        <v>0.02</v>
      </c>
      <c r="I13" s="141">
        <f>ROUND(F13*(1+H13),0)</f>
        <v>4535</v>
      </c>
      <c r="J13" s="141">
        <f>0.75*F13+0.25*I13</f>
        <v>4468.25</v>
      </c>
      <c r="L13" s="141">
        <f>ROUND(J13+K13,0)</f>
        <v>4468</v>
      </c>
      <c r="R13" s="187">
        <f>L13/12</f>
        <v>372.33333333333331</v>
      </c>
    </row>
    <row r="14" spans="1:20" x14ac:dyDescent="0.2">
      <c r="A14" t="s">
        <v>400</v>
      </c>
      <c r="B14" s="186">
        <v>3.5</v>
      </c>
      <c r="C14" s="187">
        <v>9</v>
      </c>
      <c r="D14">
        <v>39</v>
      </c>
      <c r="F14" s="141">
        <v>1365</v>
      </c>
      <c r="H14" s="191">
        <f>$H$4</f>
        <v>0.02</v>
      </c>
      <c r="I14" s="141">
        <f>ROUND(F14*(1+H14),0)</f>
        <v>1392</v>
      </c>
      <c r="J14" s="141">
        <f>0.75*F14+0.25*I14</f>
        <v>1371.75</v>
      </c>
      <c r="L14" s="141">
        <f>ROUND(J14+K14,0)</f>
        <v>1372</v>
      </c>
      <c r="R14" s="187"/>
      <c r="T14" t="s">
        <v>410</v>
      </c>
    </row>
    <row r="15" spans="1:20" x14ac:dyDescent="0.2">
      <c r="A15" t="s">
        <v>401</v>
      </c>
      <c r="B15" s="186">
        <v>3</v>
      </c>
      <c r="C15" s="187">
        <v>14</v>
      </c>
      <c r="D15">
        <v>52</v>
      </c>
      <c r="F15" s="141">
        <f>B15*C15*D15</f>
        <v>2184</v>
      </c>
      <c r="H15" s="191">
        <f>$H$4</f>
        <v>0.02</v>
      </c>
      <c r="I15" s="141">
        <f>ROUND(F15*(1+H15),0)</f>
        <v>2228</v>
      </c>
      <c r="J15" s="141">
        <f>0.75*F15+0.25*I15</f>
        <v>2195</v>
      </c>
      <c r="L15" s="141">
        <f>ROUND(J15+K15,0)</f>
        <v>2195</v>
      </c>
      <c r="R15" s="187">
        <f>L15/12</f>
        <v>182.91666666666666</v>
      </c>
    </row>
    <row r="16" spans="1:20" x14ac:dyDescent="0.2">
      <c r="A16" t="s">
        <v>402</v>
      </c>
      <c r="B16" s="186">
        <v>3</v>
      </c>
      <c r="C16" s="187">
        <v>11</v>
      </c>
      <c r="D16">
        <v>52</v>
      </c>
      <c r="F16" s="141">
        <f>B16*C16*D16</f>
        <v>1716</v>
      </c>
      <c r="G16" s="141" t="s">
        <v>403</v>
      </c>
      <c r="H16" s="189">
        <f>I16/F16-1</f>
        <v>9.0909090909090828E-2</v>
      </c>
      <c r="I16" s="141">
        <v>1872</v>
      </c>
      <c r="J16" s="141">
        <f>0.75*F16+0.25*I16</f>
        <v>1755</v>
      </c>
      <c r="L16" s="141">
        <f>ROUND(J16+K16,0)</f>
        <v>1755</v>
      </c>
      <c r="R16" s="187">
        <f>L16/12</f>
        <v>146.25</v>
      </c>
    </row>
    <row r="17" spans="6:20" x14ac:dyDescent="0.2">
      <c r="F17" s="192">
        <f>SUM(F12:F16)</f>
        <v>14612</v>
      </c>
      <c r="I17" s="192">
        <f>SUM(I12:I16)</f>
        <v>15097</v>
      </c>
      <c r="J17" s="192">
        <f>SUM(J12:J16)</f>
        <v>14733.25</v>
      </c>
      <c r="K17" s="192">
        <f>SUM(K12:K16)</f>
        <v>0</v>
      </c>
      <c r="L17" s="192">
        <f>SUM(L12:L16)</f>
        <v>14733</v>
      </c>
    </row>
    <row r="19" spans="6:20" ht="13.5" thickBot="1" x14ac:dyDescent="0.25">
      <c r="F19" s="193">
        <f>F10+F17</f>
        <v>67470</v>
      </c>
      <c r="H19" s="179">
        <f>I19/F19-1</f>
        <v>1.4880687713057617E-2</v>
      </c>
      <c r="I19" s="193">
        <f>I10+I17</f>
        <v>68474</v>
      </c>
      <c r="J19" s="193">
        <f>J10+J17</f>
        <v>67721</v>
      </c>
      <c r="K19" s="193">
        <f>K10+K17</f>
        <v>2230</v>
      </c>
      <c r="L19" s="193">
        <f>L10+L17</f>
        <v>69952</v>
      </c>
      <c r="R19">
        <v>170.12</v>
      </c>
      <c r="T19" t="s">
        <v>408</v>
      </c>
    </row>
    <row r="20" spans="6:20" ht="13.5" thickTop="1" x14ac:dyDescent="0.2">
      <c r="R20">
        <v>62.6</v>
      </c>
      <c r="T20" t="s">
        <v>409</v>
      </c>
    </row>
    <row r="22" spans="6:20" x14ac:dyDescent="0.2">
      <c r="K22" s="194" t="s">
        <v>404</v>
      </c>
      <c r="R22" s="187">
        <f>SUM(R6:R21)</f>
        <v>5947.72</v>
      </c>
    </row>
    <row r="24" spans="6:20" x14ac:dyDescent="0.2">
      <c r="K24" s="141" t="s">
        <v>405</v>
      </c>
      <c r="L24" s="141">
        <f>1244.74+(170.12*6)+(62.6*6)</f>
        <v>2641.06</v>
      </c>
    </row>
    <row r="27" spans="6:20" x14ac:dyDescent="0.2">
      <c r="K27" s="141" t="s">
        <v>324</v>
      </c>
      <c r="L27" s="195">
        <f>L19+L24</f>
        <v>72593.06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87AA6-0A08-4D15-B0AE-19181B2CFFBC}">
  <sheetPr>
    <tabColor rgb="FFFF0000"/>
    <pageSetUpPr fitToPage="1"/>
  </sheetPr>
  <dimension ref="A3:L33"/>
  <sheetViews>
    <sheetView workbookViewId="0">
      <selection activeCell="T16" sqref="T16"/>
    </sheetView>
  </sheetViews>
  <sheetFormatPr defaultRowHeight="14.25" customHeight="1" x14ac:dyDescent="0.2"/>
  <cols>
    <col min="1" max="1" width="57.42578125" bestFit="1" customWidth="1"/>
    <col min="2" max="2" width="11.140625" bestFit="1" customWidth="1"/>
    <col min="10" max="10" width="12" bestFit="1" customWidth="1"/>
    <col min="11" max="11" width="1.7109375" customWidth="1"/>
  </cols>
  <sheetData>
    <row r="3" spans="1:12" ht="14.25" customHeight="1" x14ac:dyDescent="0.2">
      <c r="B3" t="s">
        <v>373</v>
      </c>
    </row>
    <row r="4" spans="1:12" ht="14.25" customHeight="1" x14ac:dyDescent="0.2">
      <c r="A4" s="8" t="s">
        <v>3</v>
      </c>
      <c r="B4" t="s">
        <v>374</v>
      </c>
      <c r="C4" t="s">
        <v>375</v>
      </c>
      <c r="D4" t="s">
        <v>375</v>
      </c>
      <c r="E4" t="s">
        <v>375</v>
      </c>
      <c r="F4" t="s">
        <v>375</v>
      </c>
      <c r="G4" t="s">
        <v>375</v>
      </c>
      <c r="H4" t="s">
        <v>375</v>
      </c>
      <c r="J4" t="s">
        <v>376</v>
      </c>
      <c r="L4" t="s">
        <v>377</v>
      </c>
    </row>
    <row r="5" spans="1:12" ht="14.25" customHeight="1" x14ac:dyDescent="0.2">
      <c r="A5" s="6"/>
      <c r="B5" s="4" t="s">
        <v>366</v>
      </c>
      <c r="C5" s="4" t="s">
        <v>367</v>
      </c>
      <c r="D5" s="4" t="s">
        <v>368</v>
      </c>
      <c r="E5" s="4" t="s">
        <v>369</v>
      </c>
      <c r="F5" s="4" t="s">
        <v>370</v>
      </c>
      <c r="G5" s="4" t="s">
        <v>371</v>
      </c>
      <c r="H5" s="4" t="s">
        <v>372</v>
      </c>
    </row>
    <row r="6" spans="1:12" ht="14.25" customHeight="1" x14ac:dyDescent="0.2">
      <c r="A6" s="9" t="s">
        <v>25</v>
      </c>
      <c r="B6">
        <v>35806.100000000006</v>
      </c>
      <c r="C6">
        <v>5500</v>
      </c>
      <c r="D6">
        <v>5500</v>
      </c>
      <c r="E6">
        <v>5500</v>
      </c>
      <c r="F6">
        <v>5500</v>
      </c>
      <c r="G6">
        <v>5500</v>
      </c>
      <c r="H6">
        <v>5500</v>
      </c>
      <c r="J6">
        <f t="shared" ref="J6:J33" si="0">SUM(B6:H6)</f>
        <v>68806.100000000006</v>
      </c>
      <c r="L6">
        <v>67000</v>
      </c>
    </row>
    <row r="7" spans="1:12" ht="14.25" customHeight="1" x14ac:dyDescent="0.2">
      <c r="A7" s="9" t="s">
        <v>26</v>
      </c>
      <c r="B7">
        <v>9120.81</v>
      </c>
      <c r="C7">
        <v>1500</v>
      </c>
      <c r="D7">
        <v>1500</v>
      </c>
      <c r="E7">
        <v>1500</v>
      </c>
      <c r="F7">
        <v>1500</v>
      </c>
      <c r="G7">
        <v>1500</v>
      </c>
      <c r="H7">
        <v>1500</v>
      </c>
      <c r="J7">
        <f t="shared" si="0"/>
        <v>18120.809999999998</v>
      </c>
      <c r="L7">
        <v>18422</v>
      </c>
    </row>
    <row r="8" spans="1:12" ht="14.25" customHeight="1" x14ac:dyDescent="0.2">
      <c r="A8" s="9" t="s">
        <v>181</v>
      </c>
      <c r="B8">
        <v>240</v>
      </c>
      <c r="C8">
        <v>130</v>
      </c>
      <c r="D8">
        <v>130</v>
      </c>
      <c r="E8">
        <v>130</v>
      </c>
      <c r="F8">
        <v>130</v>
      </c>
      <c r="G8">
        <v>130</v>
      </c>
      <c r="H8">
        <v>130</v>
      </c>
      <c r="J8">
        <f t="shared" si="0"/>
        <v>1020</v>
      </c>
      <c r="L8">
        <v>1000</v>
      </c>
    </row>
    <row r="9" spans="1:12" ht="14.25" customHeight="1" x14ac:dyDescent="0.2">
      <c r="A9" s="9" t="s">
        <v>27</v>
      </c>
      <c r="B9">
        <v>1036.6199999999999</v>
      </c>
      <c r="C9">
        <v>350</v>
      </c>
      <c r="D9">
        <v>350</v>
      </c>
      <c r="E9">
        <v>350</v>
      </c>
      <c r="F9">
        <v>350</v>
      </c>
      <c r="G9">
        <v>350</v>
      </c>
      <c r="H9">
        <v>350</v>
      </c>
      <c r="J9">
        <f t="shared" si="0"/>
        <v>3136.62</v>
      </c>
      <c r="L9">
        <v>3150</v>
      </c>
    </row>
    <row r="10" spans="1:12" ht="14.25" customHeight="1" x14ac:dyDescent="0.2">
      <c r="A10" s="9" t="s">
        <v>28</v>
      </c>
      <c r="B10">
        <v>1665.68</v>
      </c>
      <c r="C10">
        <v>550</v>
      </c>
      <c r="D10">
        <v>550</v>
      </c>
      <c r="E10">
        <v>550</v>
      </c>
      <c r="F10">
        <v>550</v>
      </c>
      <c r="G10">
        <v>550</v>
      </c>
      <c r="H10">
        <v>550</v>
      </c>
      <c r="J10">
        <f t="shared" si="0"/>
        <v>4965.68</v>
      </c>
      <c r="L10">
        <v>5000</v>
      </c>
    </row>
    <row r="11" spans="1:12" ht="14.25" customHeight="1" x14ac:dyDescent="0.2">
      <c r="A11" s="9" t="s">
        <v>29</v>
      </c>
      <c r="B11">
        <v>0</v>
      </c>
      <c r="J11">
        <f t="shared" si="0"/>
        <v>0</v>
      </c>
      <c r="L11">
        <v>60</v>
      </c>
    </row>
    <row r="12" spans="1:12" ht="14.25" customHeight="1" x14ac:dyDescent="0.2">
      <c r="A12" s="9"/>
      <c r="J12">
        <f t="shared" si="0"/>
        <v>0</v>
      </c>
    </row>
    <row r="13" spans="1:12" ht="14.25" customHeight="1" thickBot="1" x14ac:dyDescent="0.25">
      <c r="A13" s="9"/>
      <c r="B13" s="196">
        <f>SUM(B6:B11)</f>
        <v>47869.210000000006</v>
      </c>
      <c r="C13" s="196">
        <f t="shared" ref="C13:H13" si="1">SUM(C6:C11)</f>
        <v>8030</v>
      </c>
      <c r="D13" s="196">
        <f t="shared" si="1"/>
        <v>8030</v>
      </c>
      <c r="E13" s="196">
        <f t="shared" si="1"/>
        <v>8030</v>
      </c>
      <c r="F13" s="196">
        <f t="shared" si="1"/>
        <v>8030</v>
      </c>
      <c r="G13" s="196">
        <f t="shared" si="1"/>
        <v>8030</v>
      </c>
      <c r="H13" s="196">
        <f t="shared" si="1"/>
        <v>8030</v>
      </c>
      <c r="I13" s="196"/>
      <c r="J13" s="196">
        <f t="shared" si="0"/>
        <v>96049.21</v>
      </c>
      <c r="K13" s="196"/>
      <c r="L13" s="196">
        <v>94632</v>
      </c>
    </row>
    <row r="14" spans="1:12" ht="14.25" customHeight="1" thickTop="1" x14ac:dyDescent="0.2">
      <c r="A14" s="9"/>
      <c r="J14">
        <f t="shared" si="0"/>
        <v>0</v>
      </c>
    </row>
    <row r="15" spans="1:12" ht="14.25" customHeight="1" x14ac:dyDescent="0.2">
      <c r="A15" s="12" t="s">
        <v>4</v>
      </c>
      <c r="J15">
        <f t="shared" si="0"/>
        <v>0</v>
      </c>
    </row>
    <row r="16" spans="1:12" ht="14.25" customHeight="1" x14ac:dyDescent="0.2">
      <c r="A16" s="9"/>
      <c r="J16">
        <f t="shared" si="0"/>
        <v>0</v>
      </c>
    </row>
    <row r="17" spans="1:12" ht="14.25" customHeight="1" x14ac:dyDescent="0.2">
      <c r="A17" s="9" t="s">
        <v>30</v>
      </c>
      <c r="B17">
        <v>0</v>
      </c>
      <c r="J17">
        <f t="shared" si="0"/>
        <v>0</v>
      </c>
    </row>
    <row r="18" spans="1:12" ht="14.25" customHeight="1" x14ac:dyDescent="0.2">
      <c r="A18" s="9" t="s">
        <v>31</v>
      </c>
      <c r="B18">
        <v>33938.33</v>
      </c>
      <c r="C18">
        <v>5947</v>
      </c>
      <c r="D18">
        <v>5947</v>
      </c>
      <c r="E18">
        <v>5947</v>
      </c>
      <c r="F18">
        <v>5947</v>
      </c>
      <c r="G18">
        <v>5947</v>
      </c>
      <c r="H18">
        <v>5947</v>
      </c>
      <c r="J18">
        <f t="shared" si="0"/>
        <v>69620.33</v>
      </c>
      <c r="L18">
        <v>60629</v>
      </c>
    </row>
    <row r="19" spans="1:12" ht="14.25" customHeight="1" x14ac:dyDescent="0.2">
      <c r="A19" s="9" t="s">
        <v>32</v>
      </c>
      <c r="B19">
        <v>6878.1</v>
      </c>
      <c r="C19">
        <v>1300</v>
      </c>
      <c r="D19">
        <v>1300</v>
      </c>
      <c r="E19">
        <v>1300</v>
      </c>
      <c r="F19">
        <v>1300</v>
      </c>
      <c r="G19">
        <v>1300</v>
      </c>
      <c r="H19">
        <v>1300</v>
      </c>
      <c r="J19">
        <f t="shared" si="0"/>
        <v>14678.1</v>
      </c>
      <c r="L19">
        <v>14500</v>
      </c>
    </row>
    <row r="20" spans="1:12" ht="14.25" customHeight="1" x14ac:dyDescent="0.2">
      <c r="A20" s="9" t="s">
        <v>33</v>
      </c>
      <c r="B20">
        <v>9152.2899999999972</v>
      </c>
      <c r="C20">
        <v>350</v>
      </c>
      <c r="D20">
        <v>350</v>
      </c>
      <c r="E20">
        <v>350</v>
      </c>
      <c r="F20">
        <v>350</v>
      </c>
      <c r="G20">
        <v>350</v>
      </c>
      <c r="H20">
        <v>350</v>
      </c>
      <c r="J20">
        <f t="shared" si="0"/>
        <v>11252.289999999997</v>
      </c>
      <c r="L20">
        <v>11000</v>
      </c>
    </row>
    <row r="21" spans="1:12" ht="14.25" customHeight="1" x14ac:dyDescent="0.2">
      <c r="A21" s="9" t="s">
        <v>34</v>
      </c>
      <c r="B21">
        <v>1370.1799999999998</v>
      </c>
      <c r="C21">
        <v>780</v>
      </c>
      <c r="D21">
        <v>780</v>
      </c>
      <c r="E21">
        <v>780</v>
      </c>
      <c r="F21">
        <v>780</v>
      </c>
      <c r="G21">
        <v>780</v>
      </c>
      <c r="H21">
        <v>780</v>
      </c>
      <c r="J21">
        <f t="shared" si="0"/>
        <v>6050.18</v>
      </c>
      <c r="L21">
        <v>6000</v>
      </c>
    </row>
    <row r="22" spans="1:12" ht="14.25" customHeight="1" x14ac:dyDescent="0.2">
      <c r="A22" s="9" t="s">
        <v>5</v>
      </c>
      <c r="B22">
        <v>2996.25</v>
      </c>
      <c r="C22">
        <v>160</v>
      </c>
      <c r="D22">
        <v>160</v>
      </c>
      <c r="E22">
        <v>160</v>
      </c>
      <c r="F22">
        <v>160</v>
      </c>
      <c r="G22">
        <v>160</v>
      </c>
      <c r="H22">
        <v>160</v>
      </c>
      <c r="J22">
        <f t="shared" si="0"/>
        <v>3956.25</v>
      </c>
      <c r="L22">
        <v>4000</v>
      </c>
    </row>
    <row r="23" spans="1:12" ht="14.25" customHeight="1" x14ac:dyDescent="0.2">
      <c r="A23" s="9" t="s">
        <v>35</v>
      </c>
      <c r="B23">
        <v>312.59000000000003</v>
      </c>
      <c r="C23">
        <v>200</v>
      </c>
      <c r="D23">
        <v>200</v>
      </c>
      <c r="E23">
        <v>200</v>
      </c>
      <c r="F23">
        <v>200</v>
      </c>
      <c r="G23">
        <v>200</v>
      </c>
      <c r="H23">
        <v>200</v>
      </c>
      <c r="J23">
        <f t="shared" si="0"/>
        <v>1512.5900000000001</v>
      </c>
      <c r="L23">
        <v>1450</v>
      </c>
    </row>
    <row r="24" spans="1:12" ht="14.25" customHeight="1" x14ac:dyDescent="0.2">
      <c r="A24" s="9" t="s">
        <v>36</v>
      </c>
      <c r="B24">
        <v>2160.9</v>
      </c>
      <c r="C24">
        <v>230</v>
      </c>
      <c r="D24">
        <v>230</v>
      </c>
      <c r="E24">
        <v>230</v>
      </c>
      <c r="F24">
        <v>230</v>
      </c>
      <c r="G24">
        <v>230</v>
      </c>
      <c r="H24">
        <v>230</v>
      </c>
      <c r="I24" t="s">
        <v>395</v>
      </c>
      <c r="J24">
        <f t="shared" si="0"/>
        <v>3540.9</v>
      </c>
      <c r="L24">
        <v>2000</v>
      </c>
    </row>
    <row r="25" spans="1:12" ht="14.25" customHeight="1" x14ac:dyDescent="0.2">
      <c r="A25" s="9" t="s">
        <v>37</v>
      </c>
      <c r="B25">
        <v>0</v>
      </c>
      <c r="J25">
        <f t="shared" si="0"/>
        <v>0</v>
      </c>
      <c r="L25">
        <v>3000</v>
      </c>
    </row>
    <row r="26" spans="1:12" ht="14.25" customHeight="1" x14ac:dyDescent="0.2">
      <c r="A26" s="9" t="s">
        <v>38</v>
      </c>
      <c r="B26">
        <v>-58</v>
      </c>
      <c r="C26">
        <v>130</v>
      </c>
      <c r="D26">
        <v>130</v>
      </c>
      <c r="E26">
        <v>130</v>
      </c>
      <c r="F26">
        <v>130</v>
      </c>
      <c r="G26">
        <v>130</v>
      </c>
      <c r="H26">
        <v>130</v>
      </c>
      <c r="J26">
        <f t="shared" si="0"/>
        <v>722</v>
      </c>
      <c r="L26">
        <v>700</v>
      </c>
    </row>
    <row r="27" spans="1:12" ht="14.25" customHeight="1" x14ac:dyDescent="0.2">
      <c r="A27" s="9" t="s">
        <v>282</v>
      </c>
      <c r="B27">
        <v>60</v>
      </c>
      <c r="C27">
        <v>10</v>
      </c>
      <c r="D27">
        <v>10</v>
      </c>
      <c r="E27">
        <v>10</v>
      </c>
      <c r="F27">
        <v>10</v>
      </c>
      <c r="G27">
        <v>10</v>
      </c>
      <c r="H27">
        <v>10</v>
      </c>
      <c r="J27">
        <f t="shared" si="0"/>
        <v>120</v>
      </c>
      <c r="L27">
        <v>0</v>
      </c>
    </row>
    <row r="28" spans="1:12" ht="14.25" customHeight="1" x14ac:dyDescent="0.2">
      <c r="A28" s="9" t="s">
        <v>233</v>
      </c>
      <c r="B28">
        <v>0</v>
      </c>
      <c r="J28">
        <f t="shared" si="0"/>
        <v>0</v>
      </c>
      <c r="L28">
        <v>0</v>
      </c>
    </row>
    <row r="29" spans="1:12" ht="14.25" customHeight="1" x14ac:dyDescent="0.2">
      <c r="A29" s="9"/>
      <c r="J29">
        <f t="shared" si="0"/>
        <v>0</v>
      </c>
    </row>
    <row r="30" spans="1:12" ht="14.25" customHeight="1" thickBot="1" x14ac:dyDescent="0.25">
      <c r="A30" s="9" t="s">
        <v>39</v>
      </c>
      <c r="B30" s="196">
        <f>SUM(B17:B29)</f>
        <v>56810.64</v>
      </c>
      <c r="C30" s="196">
        <f t="shared" ref="C30:H30" si="2">SUM(C17:C29)</f>
        <v>9107</v>
      </c>
      <c r="D30" s="196">
        <f t="shared" si="2"/>
        <v>9107</v>
      </c>
      <c r="E30" s="196">
        <f t="shared" si="2"/>
        <v>9107</v>
      </c>
      <c r="F30" s="196">
        <f t="shared" si="2"/>
        <v>9107</v>
      </c>
      <c r="G30" s="196">
        <f t="shared" si="2"/>
        <v>9107</v>
      </c>
      <c r="H30" s="196">
        <f t="shared" si="2"/>
        <v>9107</v>
      </c>
      <c r="I30" s="196"/>
      <c r="J30" s="196">
        <f t="shared" si="0"/>
        <v>111452.64</v>
      </c>
      <c r="K30" s="196"/>
      <c r="L30" s="196">
        <v>103279</v>
      </c>
    </row>
    <row r="31" spans="1:12" ht="14.25" customHeight="1" thickTop="1" x14ac:dyDescent="0.2">
      <c r="A31" s="9"/>
      <c r="J31">
        <f t="shared" si="0"/>
        <v>0</v>
      </c>
    </row>
    <row r="32" spans="1:12" ht="14.25" customHeight="1" thickBot="1" x14ac:dyDescent="0.25">
      <c r="A32" s="12" t="s">
        <v>40</v>
      </c>
      <c r="B32" s="197">
        <f>B13-B30</f>
        <v>-8941.429999999993</v>
      </c>
      <c r="C32" s="197">
        <f t="shared" ref="C32:I32" si="3">C13-C30</f>
        <v>-1077</v>
      </c>
      <c r="D32" s="197">
        <f t="shared" si="3"/>
        <v>-1077</v>
      </c>
      <c r="E32" s="197">
        <f t="shared" si="3"/>
        <v>-1077</v>
      </c>
      <c r="F32" s="197">
        <f t="shared" si="3"/>
        <v>-1077</v>
      </c>
      <c r="G32" s="197">
        <f t="shared" si="3"/>
        <v>-1077</v>
      </c>
      <c r="H32" s="197">
        <f t="shared" si="3"/>
        <v>-1077</v>
      </c>
      <c r="I32" s="197">
        <f t="shared" si="3"/>
        <v>0</v>
      </c>
      <c r="J32" s="197">
        <f t="shared" si="0"/>
        <v>-15403.429999999993</v>
      </c>
      <c r="K32" s="197"/>
      <c r="L32" s="197">
        <v>-8647</v>
      </c>
    </row>
    <row r="33" spans="1:10" ht="14.25" customHeight="1" thickTop="1" x14ac:dyDescent="0.2">
      <c r="A33" s="6"/>
      <c r="J33">
        <f t="shared" si="0"/>
        <v>0</v>
      </c>
    </row>
  </sheetData>
  <phoneticPr fontId="7" type="noConversion"/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U75"/>
  <sheetViews>
    <sheetView topLeftCell="A5" zoomScaleNormal="100" workbookViewId="0">
      <selection activeCell="R38" sqref="R38"/>
    </sheetView>
  </sheetViews>
  <sheetFormatPr defaultRowHeight="12.75" x14ac:dyDescent="0.2"/>
  <cols>
    <col min="1" max="1" width="23.7109375" customWidth="1"/>
    <col min="2" max="5" width="8.5703125" customWidth="1"/>
    <col min="6" max="6" width="8.5703125" hidden="1" customWidth="1"/>
    <col min="7" max="8" width="8.5703125" customWidth="1"/>
    <col min="9" max="9" width="3" customWidth="1"/>
    <col min="10" max="11" width="8.5703125" hidden="1" customWidth="1"/>
    <col min="12" max="12" width="1.85546875" customWidth="1"/>
    <col min="13" max="13" width="8.5703125" hidden="1" customWidth="1"/>
    <col min="14" max="14" width="9.85546875" hidden="1" customWidth="1"/>
    <col min="15" max="15" width="2.85546875" hidden="1" customWidth="1"/>
    <col min="16" max="16" width="8.5703125" hidden="1" customWidth="1"/>
    <col min="17" max="17" width="26.140625" bestFit="1" customWidth="1"/>
    <col min="19" max="19" width="10.140625" customWidth="1"/>
    <col min="20" max="20" width="12" customWidth="1"/>
    <col min="21" max="21" width="11" customWidth="1"/>
  </cols>
  <sheetData>
    <row r="1" spans="1:17" ht="18" x14ac:dyDescent="0.25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198"/>
    </row>
    <row r="2" spans="1:17" ht="18" x14ac:dyDescent="0.25">
      <c r="A2" s="291" t="s">
        <v>21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198"/>
    </row>
    <row r="3" spans="1:17" ht="18" x14ac:dyDescent="0.25">
      <c r="A3" s="5"/>
      <c r="B3" s="30" t="s">
        <v>22</v>
      </c>
      <c r="C3" s="30"/>
      <c r="D3" s="41">
        <f>Info!C2</f>
        <v>45138</v>
      </c>
      <c r="E3" s="41"/>
      <c r="F3" s="41"/>
      <c r="G3" s="41"/>
      <c r="H3" s="174"/>
      <c r="I3" s="174"/>
      <c r="J3" s="174"/>
      <c r="K3" s="174"/>
      <c r="L3" s="5"/>
      <c r="M3" s="5"/>
      <c r="N3" t="s">
        <v>491</v>
      </c>
    </row>
    <row r="4" spans="1:17" ht="18" x14ac:dyDescent="0.25">
      <c r="A4" s="5"/>
      <c r="B4" s="30"/>
      <c r="C4" s="30"/>
      <c r="D4" s="41"/>
      <c r="E4" s="41"/>
      <c r="F4" s="41"/>
      <c r="G4" s="41"/>
      <c r="H4" s="174"/>
      <c r="I4" s="174"/>
      <c r="J4" s="174"/>
      <c r="K4" s="174"/>
      <c r="L4" s="5"/>
      <c r="M4" s="5"/>
    </row>
    <row r="5" spans="1:17" x14ac:dyDescent="0.2">
      <c r="B5" s="293" t="s">
        <v>238</v>
      </c>
      <c r="C5" s="293"/>
      <c r="D5" s="293"/>
      <c r="E5" s="293"/>
      <c r="F5" s="293"/>
      <c r="G5" s="293"/>
      <c r="H5" s="293"/>
      <c r="I5" s="209"/>
      <c r="J5" s="295" t="s">
        <v>414</v>
      </c>
      <c r="K5" s="296" t="s">
        <v>477</v>
      </c>
      <c r="L5" s="4"/>
      <c r="M5" s="290" t="s">
        <v>417</v>
      </c>
      <c r="N5" s="294"/>
      <c r="O5" s="258"/>
      <c r="P5" s="290" t="s">
        <v>411</v>
      </c>
    </row>
    <row r="6" spans="1:17" ht="33.75" customHeight="1" x14ac:dyDescent="0.2">
      <c r="B6" s="293"/>
      <c r="C6" s="293"/>
      <c r="D6" s="293"/>
      <c r="E6" s="293"/>
      <c r="F6" s="293"/>
      <c r="G6" s="293"/>
      <c r="H6" s="293"/>
      <c r="I6" s="209"/>
      <c r="J6" s="295"/>
      <c r="K6" s="296"/>
      <c r="L6" s="4"/>
      <c r="M6" s="294"/>
      <c r="N6" s="294"/>
      <c r="O6" s="258"/>
      <c r="P6" s="290"/>
    </row>
    <row r="7" spans="1:17" ht="36" customHeight="1" x14ac:dyDescent="0.2">
      <c r="A7" s="6"/>
      <c r="B7" s="202" t="s">
        <v>331</v>
      </c>
      <c r="C7" s="202" t="s">
        <v>494</v>
      </c>
      <c r="D7" s="202" t="s">
        <v>191</v>
      </c>
      <c r="E7" s="202" t="s">
        <v>24</v>
      </c>
      <c r="F7" s="202" t="s">
        <v>418</v>
      </c>
      <c r="G7" s="281" t="s">
        <v>505</v>
      </c>
      <c r="H7" s="276" t="s">
        <v>239</v>
      </c>
      <c r="I7" s="210"/>
      <c r="J7" s="203" t="s">
        <v>239</v>
      </c>
      <c r="K7" s="203"/>
      <c r="L7" s="6"/>
      <c r="M7" s="259" t="s">
        <v>239</v>
      </c>
      <c r="N7" s="260" t="s">
        <v>240</v>
      </c>
      <c r="O7" s="261"/>
      <c r="P7" s="259" t="s">
        <v>239</v>
      </c>
      <c r="Q7" t="s">
        <v>504</v>
      </c>
    </row>
    <row r="8" spans="1:17" ht="9" customHeight="1" x14ac:dyDescent="0.2">
      <c r="A8" s="6"/>
      <c r="B8" s="201"/>
      <c r="C8" s="201"/>
      <c r="D8" s="7"/>
      <c r="E8" s="7"/>
      <c r="F8" s="7"/>
      <c r="G8" s="282"/>
      <c r="H8" s="7"/>
      <c r="I8" s="211"/>
      <c r="J8" s="7"/>
      <c r="K8" s="7"/>
      <c r="L8" s="6"/>
      <c r="M8" s="262"/>
      <c r="N8" s="263"/>
      <c r="O8" s="264"/>
      <c r="P8" s="262"/>
    </row>
    <row r="9" spans="1:17" x14ac:dyDescent="0.2">
      <c r="A9" s="8" t="s">
        <v>3</v>
      </c>
      <c r="B9" s="7" t="s">
        <v>7</v>
      </c>
      <c r="C9" s="7"/>
      <c r="D9" s="7" t="s">
        <v>7</v>
      </c>
      <c r="E9" s="7" t="s">
        <v>7</v>
      </c>
      <c r="F9" s="7"/>
      <c r="G9" s="282"/>
      <c r="H9" s="278" t="s">
        <v>7</v>
      </c>
      <c r="I9" s="211"/>
      <c r="J9" s="7" t="s">
        <v>7</v>
      </c>
      <c r="K9" s="7" t="s">
        <v>7</v>
      </c>
      <c r="L9" s="6"/>
      <c r="M9" s="262" t="s">
        <v>7</v>
      </c>
      <c r="N9" s="262" t="s">
        <v>7</v>
      </c>
      <c r="O9" s="264"/>
      <c r="P9" s="262" t="s">
        <v>7</v>
      </c>
    </row>
    <row r="10" spans="1:17" x14ac:dyDescent="0.2">
      <c r="A10" s="6"/>
      <c r="B10" s="7"/>
      <c r="C10" s="7"/>
      <c r="D10" s="7"/>
      <c r="E10" s="7"/>
      <c r="F10" s="7"/>
      <c r="G10" s="282"/>
      <c r="H10" s="278"/>
      <c r="I10" s="211"/>
      <c r="J10" s="199"/>
      <c r="K10" s="199"/>
      <c r="L10" s="6"/>
      <c r="M10" s="263"/>
      <c r="N10" s="263"/>
      <c r="O10" s="264"/>
      <c r="P10" s="263"/>
    </row>
    <row r="11" spans="1:17" ht="24" x14ac:dyDescent="0.2">
      <c r="A11" s="9" t="s">
        <v>25</v>
      </c>
      <c r="B11" s="118">
        <f>'Funds Analysis'!AE20</f>
        <v>25726.9</v>
      </c>
      <c r="C11" s="118" t="s">
        <v>479</v>
      </c>
      <c r="D11" s="118">
        <v>0</v>
      </c>
      <c r="E11" s="118">
        <v>0</v>
      </c>
      <c r="F11" s="118"/>
      <c r="G11" s="283">
        <v>0</v>
      </c>
      <c r="H11" s="279">
        <f>SUM(B11:G11)</f>
        <v>25726.9</v>
      </c>
      <c r="I11" s="212"/>
      <c r="J11" s="118">
        <v>0</v>
      </c>
      <c r="K11" s="118" t="s">
        <v>479</v>
      </c>
      <c r="L11" s="6"/>
      <c r="M11" s="265">
        <v>70211.026499999993</v>
      </c>
      <c r="N11" s="266">
        <f t="shared" ref="N11:N16" si="0">H11/M11</f>
        <v>0.36642250202680066</v>
      </c>
      <c r="O11" s="267"/>
      <c r="P11" s="265">
        <v>70211.026499999993</v>
      </c>
    </row>
    <row r="12" spans="1:17" x14ac:dyDescent="0.2">
      <c r="A12" s="9" t="s">
        <v>412</v>
      </c>
      <c r="B12" s="118">
        <f>'Funds Analysis'!S11+'Funds Analysis'!R11+'Funds Analysis'!E11+'Funds Analysis'!F11+'Funds Analysis'!G11+'Funds Analysis'!H11+'Funds Analysis'!I11</f>
        <v>823.92</v>
      </c>
      <c r="C12" s="118" t="s">
        <v>479</v>
      </c>
      <c r="D12" s="118">
        <f>'Funds Analysis'!O11+'Funds Analysis'!AB11</f>
        <v>0</v>
      </c>
      <c r="E12" s="118">
        <f>'Funds Analysis'!J11</f>
        <v>0</v>
      </c>
      <c r="F12" s="118">
        <v>0</v>
      </c>
      <c r="G12" s="283">
        <v>0</v>
      </c>
      <c r="H12" s="279">
        <f t="shared" ref="H12:H15" si="1">SUM(B12:G12)</f>
        <v>823.92</v>
      </c>
      <c r="I12" s="212"/>
      <c r="J12" s="118">
        <f>'Funds Analysis'!B11</f>
        <v>0</v>
      </c>
      <c r="K12" s="118">
        <f>'Funds Analysis'!C11</f>
        <v>1501.46</v>
      </c>
      <c r="L12" s="6"/>
      <c r="M12" s="265">
        <v>14000</v>
      </c>
      <c r="N12" s="266">
        <f t="shared" si="0"/>
        <v>5.8851428571428568E-2</v>
      </c>
      <c r="O12" s="267"/>
      <c r="P12" s="265">
        <v>14000</v>
      </c>
    </row>
    <row r="13" spans="1:17" x14ac:dyDescent="0.2">
      <c r="A13" s="9" t="s">
        <v>181</v>
      </c>
      <c r="B13" s="118">
        <f>'Funds Analysis'!AE31</f>
        <v>0</v>
      </c>
      <c r="C13" s="118" t="s">
        <v>479</v>
      </c>
      <c r="D13" s="118">
        <v>0</v>
      </c>
      <c r="E13" s="118">
        <v>0</v>
      </c>
      <c r="F13" s="118">
        <v>0</v>
      </c>
      <c r="G13" s="283">
        <f>'Funds Analysis'!C11</f>
        <v>1501.46</v>
      </c>
      <c r="H13" s="279">
        <f t="shared" si="1"/>
        <v>1501.46</v>
      </c>
      <c r="I13" s="212"/>
      <c r="J13" s="118">
        <v>0</v>
      </c>
      <c r="K13" s="118"/>
      <c r="L13" s="6"/>
      <c r="M13" s="265">
        <v>1000</v>
      </c>
      <c r="N13" s="266">
        <f t="shared" si="0"/>
        <v>1.50146</v>
      </c>
      <c r="O13" s="267"/>
      <c r="P13" s="265">
        <v>1000</v>
      </c>
    </row>
    <row r="14" spans="1:17" x14ac:dyDescent="0.2">
      <c r="A14" s="9" t="s">
        <v>27</v>
      </c>
      <c r="B14" s="118">
        <f>'Funds Analysis'!S28</f>
        <v>0</v>
      </c>
      <c r="C14" s="118">
        <f>'Funds Analysis'!H28</f>
        <v>1875</v>
      </c>
      <c r="D14" s="118">
        <f>'Funds Analysis'!O28+'Funds Analysis'!AB28</f>
        <v>1754.28</v>
      </c>
      <c r="E14" s="118">
        <f>'Funds Analysis'!J28</f>
        <v>3000</v>
      </c>
      <c r="F14" s="118"/>
      <c r="G14" s="283" t="s">
        <v>479</v>
      </c>
      <c r="H14" s="279">
        <f t="shared" si="1"/>
        <v>6629.28</v>
      </c>
      <c r="I14" s="212"/>
      <c r="J14" s="118">
        <f>'Funds Analysis'!B28</f>
        <v>0</v>
      </c>
      <c r="K14" s="118"/>
      <c r="L14" s="6"/>
      <c r="M14" s="265">
        <v>6150</v>
      </c>
      <c r="N14" s="266">
        <f t="shared" si="0"/>
        <v>1.0779317073170731</v>
      </c>
      <c r="O14" s="267"/>
      <c r="P14" s="265">
        <v>6150</v>
      </c>
    </row>
    <row r="15" spans="1:17" x14ac:dyDescent="0.2">
      <c r="A15" s="9" t="s">
        <v>28</v>
      </c>
      <c r="B15" s="118">
        <f>'Funds Analysis'!E29+'Funds Analysis'!G29+'Funds Analysis'!I29+'Funds Analysis'!S30+'Funds Analysis'!S29+'Funds Analysis'!U29</f>
        <v>1372.9</v>
      </c>
      <c r="C15" s="118">
        <f>'Funds Analysis'!H29</f>
        <v>63.09</v>
      </c>
      <c r="D15" s="118">
        <f>'Funds Analysis'!O32-'Funds Analysis'!O28+'Funds Analysis'!AB32</f>
        <v>1775.51</v>
      </c>
      <c r="E15" s="118">
        <f>'Funds Analysis'!J29</f>
        <v>1068.95</v>
      </c>
      <c r="F15" s="118"/>
      <c r="G15" s="283" t="s">
        <v>479</v>
      </c>
      <c r="H15" s="279">
        <f t="shared" si="1"/>
        <v>4280.45</v>
      </c>
      <c r="I15" s="212"/>
      <c r="J15" s="118" t="s">
        <v>479</v>
      </c>
      <c r="K15" s="118"/>
      <c r="L15" s="6"/>
      <c r="M15" s="265">
        <v>7785</v>
      </c>
      <c r="N15" s="266">
        <f t="shared" si="0"/>
        <v>0.54983301220295433</v>
      </c>
      <c r="O15" s="267"/>
      <c r="P15" s="265">
        <v>7785</v>
      </c>
    </row>
    <row r="16" spans="1:17" x14ac:dyDescent="0.2">
      <c r="A16" s="9" t="s">
        <v>29</v>
      </c>
      <c r="B16" s="118">
        <f>'Funds Analysis'!AC114</f>
        <v>0</v>
      </c>
      <c r="C16" s="118"/>
      <c r="D16" s="118">
        <v>0</v>
      </c>
      <c r="E16" s="118">
        <v>0</v>
      </c>
      <c r="F16" s="118"/>
      <c r="G16" s="283"/>
      <c r="H16" s="279">
        <f t="shared" ref="H16" si="2">SUM(B16:F16)</f>
        <v>0</v>
      </c>
      <c r="I16" s="212"/>
      <c r="J16" s="118">
        <v>0</v>
      </c>
      <c r="K16" s="118"/>
      <c r="L16" s="6"/>
      <c r="M16" s="265">
        <v>60</v>
      </c>
      <c r="N16" s="266">
        <f t="shared" si="0"/>
        <v>0</v>
      </c>
      <c r="O16" s="267"/>
      <c r="P16" s="265">
        <v>60</v>
      </c>
    </row>
    <row r="17" spans="1:21" x14ac:dyDescent="0.2">
      <c r="A17" s="9"/>
      <c r="B17" s="10"/>
      <c r="C17" s="10"/>
      <c r="D17" s="10"/>
      <c r="E17" s="10"/>
      <c r="F17" s="10"/>
      <c r="G17" s="284"/>
      <c r="H17" s="14"/>
      <c r="I17" s="213"/>
      <c r="J17" s="10"/>
      <c r="K17" s="10"/>
      <c r="L17" s="6"/>
      <c r="M17" s="268"/>
      <c r="N17" s="263"/>
      <c r="O17" s="264"/>
      <c r="P17" s="268"/>
    </row>
    <row r="18" spans="1:21" x14ac:dyDescent="0.2">
      <c r="A18" s="9"/>
      <c r="B18" s="116">
        <f>SUM(B11:B17)</f>
        <v>27923.72</v>
      </c>
      <c r="C18" s="116">
        <f t="shared" ref="C18:G18" si="3">SUM(C11:C17)</f>
        <v>1938.09</v>
      </c>
      <c r="D18" s="116">
        <f t="shared" si="3"/>
        <v>3529.79</v>
      </c>
      <c r="E18" s="116">
        <f t="shared" si="3"/>
        <v>4068.95</v>
      </c>
      <c r="F18" s="116">
        <f t="shared" si="3"/>
        <v>0</v>
      </c>
      <c r="G18" s="285">
        <f t="shared" si="3"/>
        <v>1501.46</v>
      </c>
      <c r="H18" s="11">
        <f>SUM(H11:H17)</f>
        <v>38962.009999999995</v>
      </c>
      <c r="I18" s="214"/>
      <c r="J18" s="200">
        <f>SUM(J11:J16)</f>
        <v>0</v>
      </c>
      <c r="K18" s="200">
        <f>SUM(K11:K16)</f>
        <v>1501.46</v>
      </c>
      <c r="L18" s="6"/>
      <c r="M18" s="269">
        <f>SUM(M11:M16)</f>
        <v>99206.026499999993</v>
      </c>
      <c r="N18" s="270">
        <v>0</v>
      </c>
      <c r="O18" s="271"/>
      <c r="P18" s="269">
        <v>99206.026499999993</v>
      </c>
    </row>
    <row r="19" spans="1:21" x14ac:dyDescent="0.2">
      <c r="A19" s="9"/>
      <c r="B19" s="10"/>
      <c r="C19" s="10"/>
      <c r="D19" s="10"/>
      <c r="E19" s="10"/>
      <c r="F19" s="10"/>
      <c r="G19" s="284"/>
      <c r="H19" s="14"/>
      <c r="I19" s="213"/>
      <c r="J19" s="10"/>
      <c r="K19" s="10"/>
      <c r="L19" s="6"/>
      <c r="M19" s="268"/>
      <c r="N19" s="263"/>
      <c r="O19" s="264"/>
      <c r="P19" s="268"/>
    </row>
    <row r="20" spans="1:21" x14ac:dyDescent="0.2">
      <c r="A20" s="12" t="s">
        <v>4</v>
      </c>
      <c r="B20" s="10"/>
      <c r="C20" s="10"/>
      <c r="D20" s="10"/>
      <c r="E20" s="10"/>
      <c r="F20" s="10"/>
      <c r="G20" s="284"/>
      <c r="H20" s="14"/>
      <c r="I20" s="213"/>
      <c r="J20" s="10"/>
      <c r="K20" s="10"/>
      <c r="L20" s="6"/>
      <c r="M20" s="268"/>
      <c r="N20" s="263"/>
      <c r="O20" s="264"/>
      <c r="P20" s="268"/>
    </row>
    <row r="21" spans="1:21" x14ac:dyDescent="0.2">
      <c r="A21" s="9"/>
      <c r="B21" s="10"/>
      <c r="C21" s="10"/>
      <c r="D21" s="10"/>
      <c r="E21" s="10"/>
      <c r="F21" s="10"/>
      <c r="G21" s="284"/>
      <c r="H21" s="14"/>
      <c r="I21" s="213"/>
      <c r="J21" s="10"/>
      <c r="K21" s="10"/>
      <c r="L21" s="6"/>
      <c r="M21" s="268"/>
      <c r="N21" s="263"/>
      <c r="O21" s="264"/>
      <c r="P21" s="268"/>
    </row>
    <row r="22" spans="1:21" hidden="1" x14ac:dyDescent="0.2">
      <c r="A22" s="9" t="s">
        <v>30</v>
      </c>
      <c r="B22" s="10">
        <v>0</v>
      </c>
      <c r="C22" s="10"/>
      <c r="D22" s="10">
        <v>0</v>
      </c>
      <c r="E22" s="10">
        <f>SUM(B22:D22)</f>
        <v>0</v>
      </c>
      <c r="F22" s="10"/>
      <c r="G22" s="284"/>
      <c r="H22" s="14">
        <f>SUM(B22:D22)</f>
        <v>0</v>
      </c>
      <c r="I22" s="213"/>
      <c r="J22" s="10"/>
      <c r="K22" s="10"/>
      <c r="L22" s="6"/>
      <c r="M22" s="268"/>
      <c r="N22" s="272" t="e">
        <f>#REF!-H22</f>
        <v>#REF!</v>
      </c>
      <c r="O22" s="267"/>
      <c r="P22" s="268"/>
    </row>
    <row r="23" spans="1:21" x14ac:dyDescent="0.2">
      <c r="A23" s="9" t="s">
        <v>31</v>
      </c>
      <c r="B23" s="118">
        <f>SUM('Funds Analysis'!AE43+'Funds Analysis'!AE50)-SUM('Funds Analysis'!AB43+'Funds Analysis'!AB50+'Funds Analysis'!O43+'Funds Analysis'!O50+'Funds Analysis'!J43+'Funds Analysis'!J50)</f>
        <v>24958.499999999996</v>
      </c>
      <c r="C23" s="118" t="s">
        <v>479</v>
      </c>
      <c r="D23" s="118">
        <f>'Funds Analysis'!O43+'Funds Analysis'!AB43+'Funds Analysis'!AB50</f>
        <v>9960.4700000000012</v>
      </c>
      <c r="E23" s="118">
        <f>'Funds Analysis'!J43+'Funds Analysis'!J50</f>
        <v>1348.3</v>
      </c>
      <c r="F23" s="118">
        <v>0</v>
      </c>
      <c r="G23" s="283" t="s">
        <v>479</v>
      </c>
      <c r="H23" s="279">
        <f>SUM(B23:G23)</f>
        <v>36267.270000000004</v>
      </c>
      <c r="I23" s="215"/>
      <c r="J23" s="118">
        <v>0</v>
      </c>
      <c r="K23" s="118"/>
      <c r="L23" s="6"/>
      <c r="M23" s="265">
        <v>70206.91</v>
      </c>
      <c r="N23" s="266">
        <f t="shared" ref="N23:N33" si="4">IFERROR(H23/M23,0)</f>
        <v>0.51657692953585344</v>
      </c>
      <c r="O23" s="267"/>
      <c r="P23" s="265">
        <v>70206.91</v>
      </c>
      <c r="Q23" s="3"/>
    </row>
    <row r="24" spans="1:21" ht="24" x14ac:dyDescent="0.2">
      <c r="A24" s="9" t="s">
        <v>32</v>
      </c>
      <c r="B24" s="118">
        <f>'Funds Analysis'!AE52+'Funds Analysis'!AE58+'Funds Analysis'!AE59</f>
        <v>5140.3599999999988</v>
      </c>
      <c r="C24" s="118" t="s">
        <v>479</v>
      </c>
      <c r="D24" s="118">
        <v>0</v>
      </c>
      <c r="E24" s="118">
        <v>0</v>
      </c>
      <c r="F24" s="118">
        <v>0</v>
      </c>
      <c r="G24" s="283" t="s">
        <v>479</v>
      </c>
      <c r="H24" s="279">
        <f t="shared" ref="H24:H33" si="5">SUM(B24:G24)</f>
        <v>5140.3599999999988</v>
      </c>
      <c r="I24" s="212"/>
      <c r="J24" s="118">
        <v>0</v>
      </c>
      <c r="K24" s="118"/>
      <c r="L24" s="6"/>
      <c r="M24" s="265">
        <v>8200</v>
      </c>
      <c r="N24" s="266">
        <f t="shared" si="4"/>
        <v>0.62687317073170712</v>
      </c>
      <c r="O24" s="267"/>
      <c r="P24" s="265">
        <v>8200</v>
      </c>
      <c r="U24" s="157"/>
    </row>
    <row r="25" spans="1:21" ht="24" x14ac:dyDescent="0.2">
      <c r="A25" s="9" t="s">
        <v>33</v>
      </c>
      <c r="B25" s="118">
        <f>'Funds Analysis'!E67+'Funds Analysis'!S67+'Funds Analysis'!S68</f>
        <v>2784.09</v>
      </c>
      <c r="C25" s="118" t="s">
        <v>479</v>
      </c>
      <c r="D25" s="118">
        <f>'Funds Analysis'!Y68+'Funds Analysis'!W68+'Funds Analysis'!W69</f>
        <v>0</v>
      </c>
      <c r="E25" s="118">
        <v>0</v>
      </c>
      <c r="F25" s="118">
        <v>0</v>
      </c>
      <c r="G25" s="283" t="s">
        <v>479</v>
      </c>
      <c r="H25" s="279">
        <f t="shared" si="5"/>
        <v>2784.09</v>
      </c>
      <c r="I25" s="212"/>
      <c r="J25" s="118">
        <v>0</v>
      </c>
      <c r="K25" s="118"/>
      <c r="L25" s="6"/>
      <c r="M25" s="265">
        <v>6000</v>
      </c>
      <c r="N25" s="266">
        <f t="shared" si="4"/>
        <v>0.46401500000000001</v>
      </c>
      <c r="O25" s="267"/>
      <c r="P25" s="265">
        <v>6000</v>
      </c>
      <c r="U25" s="157"/>
    </row>
    <row r="26" spans="1:21" ht="36" x14ac:dyDescent="0.2">
      <c r="A26" s="9" t="s">
        <v>34</v>
      </c>
      <c r="B26" s="118">
        <f>'Funds Analysis'!S76+'Funds Analysis'!E76</f>
        <v>299.57</v>
      </c>
      <c r="C26" s="118" t="s">
        <v>479</v>
      </c>
      <c r="D26" s="118">
        <f>'Funds Analysis'!O76</f>
        <v>0</v>
      </c>
      <c r="E26" s="118">
        <f>'Funds Analysis'!J76</f>
        <v>10.88</v>
      </c>
      <c r="F26" s="118">
        <v>0</v>
      </c>
      <c r="G26" s="283" t="s">
        <v>479</v>
      </c>
      <c r="H26" s="279">
        <f t="shared" si="5"/>
        <v>310.45</v>
      </c>
      <c r="I26" s="212"/>
      <c r="J26" s="118">
        <v>0</v>
      </c>
      <c r="K26" s="118"/>
      <c r="L26" s="6"/>
      <c r="M26" s="265">
        <v>3000</v>
      </c>
      <c r="N26" s="266">
        <f t="shared" si="4"/>
        <v>0.10348333333333333</v>
      </c>
      <c r="O26" s="267"/>
      <c r="P26" s="265">
        <v>3000</v>
      </c>
    </row>
    <row r="27" spans="1:21" x14ac:dyDescent="0.2">
      <c r="A27" s="9" t="s">
        <v>5</v>
      </c>
      <c r="B27" s="118">
        <f>'Funds Analysis'!G96+'Funds Analysis'!S96+'Funds Analysis'!H96-B32</f>
        <v>2465.5700000000002</v>
      </c>
      <c r="C27" s="118" t="s">
        <v>479</v>
      </c>
      <c r="D27" s="118">
        <f>'Funds Analysis'!N96+'Funds Analysis'!AB96</f>
        <v>208.8</v>
      </c>
      <c r="E27" s="118">
        <f>'Funds Analysis'!J96-E28</f>
        <v>153.13999999999999</v>
      </c>
      <c r="F27" s="118">
        <v>0</v>
      </c>
      <c r="G27" s="283">
        <f>'Funds Analysis'!C96</f>
        <v>72</v>
      </c>
      <c r="H27" s="279">
        <f t="shared" si="5"/>
        <v>2899.51</v>
      </c>
      <c r="I27" s="212"/>
      <c r="J27" s="118">
        <f>'Funds Analysis'!B96</f>
        <v>0</v>
      </c>
      <c r="K27" s="118"/>
      <c r="L27" s="6"/>
      <c r="M27" s="265">
        <v>4000</v>
      </c>
      <c r="N27" s="266">
        <f t="shared" si="4"/>
        <v>0.72487750000000006</v>
      </c>
      <c r="O27" s="267"/>
      <c r="P27" s="265">
        <v>4000</v>
      </c>
    </row>
    <row r="28" spans="1:21" ht="24" x14ac:dyDescent="0.2">
      <c r="A28" s="9" t="s">
        <v>35</v>
      </c>
      <c r="B28" s="118">
        <f>'Funds Analysis'!G92</f>
        <v>0</v>
      </c>
      <c r="C28" s="118" t="s">
        <v>479</v>
      </c>
      <c r="D28" s="118">
        <f>'Funds Analysis'!O92+'Funds Analysis'!AB92</f>
        <v>0</v>
      </c>
      <c r="E28" s="118">
        <f>'Funds Analysis'!J92</f>
        <v>0</v>
      </c>
      <c r="F28" s="118">
        <v>0</v>
      </c>
      <c r="G28" s="283" t="s">
        <v>479</v>
      </c>
      <c r="H28" s="279">
        <f t="shared" si="5"/>
        <v>0</v>
      </c>
      <c r="I28" s="215"/>
      <c r="J28" s="118">
        <v>0</v>
      </c>
      <c r="K28" s="118"/>
      <c r="L28" s="6"/>
      <c r="M28" s="265">
        <v>700</v>
      </c>
      <c r="N28" s="266">
        <f t="shared" si="4"/>
        <v>0</v>
      </c>
      <c r="O28" s="267"/>
      <c r="P28" s="265">
        <v>700</v>
      </c>
    </row>
    <row r="29" spans="1:21" x14ac:dyDescent="0.2">
      <c r="A29" s="9" t="s">
        <v>36</v>
      </c>
      <c r="B29" s="118">
        <v>0</v>
      </c>
      <c r="C29" s="118" t="s">
        <v>479</v>
      </c>
      <c r="D29" s="118">
        <f>'Funds Analysis'!O104+'Funds Analysis'!AB104</f>
        <v>2279.6000000000004</v>
      </c>
      <c r="E29" s="118">
        <v>0</v>
      </c>
      <c r="F29" s="118">
        <v>0</v>
      </c>
      <c r="G29" s="283" t="s">
        <v>479</v>
      </c>
      <c r="H29" s="279">
        <f t="shared" si="5"/>
        <v>2279.6000000000004</v>
      </c>
      <c r="I29" s="215"/>
      <c r="J29" s="118">
        <v>0</v>
      </c>
      <c r="K29" s="118"/>
      <c r="L29" s="6"/>
      <c r="M29" s="265">
        <v>2000</v>
      </c>
      <c r="N29" s="266">
        <f t="shared" si="4"/>
        <v>1.1398000000000001</v>
      </c>
      <c r="O29" s="267"/>
      <c r="P29" s="265">
        <v>2000</v>
      </c>
    </row>
    <row r="30" spans="1:21" x14ac:dyDescent="0.2">
      <c r="A30" s="9" t="s">
        <v>37</v>
      </c>
      <c r="B30" s="118">
        <f>'Funds Analysis'!E107+'Funds Analysis'!S107</f>
        <v>310.91000000000003</v>
      </c>
      <c r="C30" s="118">
        <f>'Funds Analysis'!H111</f>
        <v>139.34</v>
      </c>
      <c r="D30" s="118">
        <f>'Funds Analysis'!O107+'Funds Analysis'!AB107+161.39</f>
        <v>181.39</v>
      </c>
      <c r="E30" s="118">
        <v>0</v>
      </c>
      <c r="F30" s="118">
        <v>0</v>
      </c>
      <c r="G30" s="283">
        <f>'Funds Analysis'!C106</f>
        <v>400</v>
      </c>
      <c r="H30" s="279">
        <f t="shared" si="5"/>
        <v>1031.6399999999999</v>
      </c>
      <c r="I30" s="212"/>
      <c r="J30" s="118">
        <v>0</v>
      </c>
      <c r="K30" s="118">
        <f>'Funds Analysis'!C107+'Funds Analysis'!C96</f>
        <v>472</v>
      </c>
      <c r="L30" s="6"/>
      <c r="M30" s="265">
        <v>2190</v>
      </c>
      <c r="N30" s="266">
        <f t="shared" si="4"/>
        <v>0.47106849315068489</v>
      </c>
      <c r="O30" s="267"/>
      <c r="P30" s="265">
        <v>2190</v>
      </c>
    </row>
    <row r="31" spans="1:21" x14ac:dyDescent="0.2">
      <c r="A31" s="9" t="s">
        <v>38</v>
      </c>
      <c r="B31" s="118">
        <f>'Funds Analysis'!S110</f>
        <v>-750</v>
      </c>
      <c r="C31" s="118">
        <v>0</v>
      </c>
      <c r="D31" s="118">
        <v>0</v>
      </c>
      <c r="E31" s="118">
        <v>0</v>
      </c>
      <c r="F31" s="118">
        <v>0</v>
      </c>
      <c r="G31" s="283" t="s">
        <v>479</v>
      </c>
      <c r="H31" s="279">
        <f t="shared" si="5"/>
        <v>-750</v>
      </c>
      <c r="I31" s="215"/>
      <c r="J31" s="118">
        <v>0</v>
      </c>
      <c r="K31" s="118"/>
      <c r="L31" s="6"/>
      <c r="M31" s="265">
        <v>600</v>
      </c>
      <c r="N31" s="266">
        <f t="shared" si="4"/>
        <v>-1.25</v>
      </c>
      <c r="O31" s="267"/>
      <c r="P31" s="265">
        <v>600</v>
      </c>
    </row>
    <row r="32" spans="1:21" x14ac:dyDescent="0.2">
      <c r="A32" s="9" t="s">
        <v>282</v>
      </c>
      <c r="B32" s="118">
        <f>'Funds Analysis'!AD96+'Funds Analysis'!AC94</f>
        <v>40</v>
      </c>
      <c r="C32" s="118">
        <v>0</v>
      </c>
      <c r="D32" s="118">
        <v>0</v>
      </c>
      <c r="E32" s="118">
        <v>0</v>
      </c>
      <c r="F32" s="118">
        <v>0</v>
      </c>
      <c r="G32" s="283" t="s">
        <v>479</v>
      </c>
      <c r="H32" s="279">
        <f t="shared" si="5"/>
        <v>40</v>
      </c>
      <c r="I32" s="215"/>
      <c r="J32" s="118">
        <v>0</v>
      </c>
      <c r="K32" s="118"/>
      <c r="L32" s="6"/>
      <c r="M32" s="265">
        <v>120</v>
      </c>
      <c r="N32" s="266">
        <f t="shared" si="4"/>
        <v>0.33333333333333331</v>
      </c>
      <c r="O32" s="267"/>
      <c r="P32" s="265">
        <v>120</v>
      </c>
    </row>
    <row r="33" spans="1:16" x14ac:dyDescent="0.2">
      <c r="A33" s="9" t="s">
        <v>233</v>
      </c>
      <c r="B33" s="118"/>
      <c r="C33" s="118"/>
      <c r="D33" s="118"/>
      <c r="E33" s="118">
        <v>0</v>
      </c>
      <c r="F33" s="118">
        <v>0</v>
      </c>
      <c r="G33" s="283" t="s">
        <v>479</v>
      </c>
      <c r="H33" s="279">
        <f t="shared" si="5"/>
        <v>0</v>
      </c>
      <c r="I33" s="212"/>
      <c r="J33" s="118">
        <v>0</v>
      </c>
      <c r="K33" s="118"/>
      <c r="L33" s="6"/>
      <c r="M33" s="265">
        <v>500</v>
      </c>
      <c r="N33" s="266">
        <f t="shared" si="4"/>
        <v>0</v>
      </c>
      <c r="O33" s="267"/>
      <c r="P33" s="265">
        <v>500</v>
      </c>
    </row>
    <row r="34" spans="1:16" x14ac:dyDescent="0.2">
      <c r="A34" s="9" t="s">
        <v>234</v>
      </c>
      <c r="B34" s="118"/>
      <c r="C34" s="118"/>
      <c r="D34" s="118"/>
      <c r="E34" s="118"/>
      <c r="F34" s="118"/>
      <c r="G34" s="283"/>
      <c r="H34" s="279"/>
      <c r="I34" s="212"/>
      <c r="J34" s="118">
        <v>0</v>
      </c>
      <c r="K34" s="118"/>
      <c r="L34" s="6"/>
      <c r="M34" s="265"/>
      <c r="N34" s="266"/>
      <c r="O34" s="267"/>
      <c r="P34" s="265"/>
    </row>
    <row r="35" spans="1:16" x14ac:dyDescent="0.2">
      <c r="A35" s="9"/>
      <c r="B35" s="10"/>
      <c r="C35" s="10"/>
      <c r="D35" s="10"/>
      <c r="E35" s="10"/>
      <c r="F35" s="10"/>
      <c r="G35" s="284"/>
      <c r="H35" s="14"/>
      <c r="I35" s="213"/>
      <c r="J35" s="10"/>
      <c r="K35" s="10"/>
      <c r="L35" s="6"/>
      <c r="M35" s="268"/>
      <c r="N35" s="263"/>
      <c r="O35" s="264"/>
      <c r="P35" s="268"/>
    </row>
    <row r="36" spans="1:16" x14ac:dyDescent="0.2">
      <c r="A36" s="9" t="s">
        <v>39</v>
      </c>
      <c r="B36" s="11">
        <f>SUM(B22:B35)</f>
        <v>35249</v>
      </c>
      <c r="C36" s="11">
        <f>SUM(C22:C35)</f>
        <v>139.34</v>
      </c>
      <c r="D36" s="11">
        <f>SUM(D22:D35)</f>
        <v>12630.26</v>
      </c>
      <c r="E36" s="11">
        <f>SUM(E22:E35)</f>
        <v>1512.3200000000002</v>
      </c>
      <c r="F36" s="11">
        <f t="shared" ref="F36" si="6">SUM(F22:F35)</f>
        <v>0</v>
      </c>
      <c r="G36" s="286">
        <f>SUM(G22:G35)</f>
        <v>472</v>
      </c>
      <c r="H36" s="11">
        <f>SUM(H22:H35)</f>
        <v>50002.92</v>
      </c>
      <c r="I36" s="214"/>
      <c r="J36" s="11">
        <f>SUM(J23:J35)</f>
        <v>0</v>
      </c>
      <c r="K36" s="11">
        <f>SUM(K23:K35)</f>
        <v>472</v>
      </c>
      <c r="L36" s="6"/>
      <c r="M36" s="273">
        <f>SUM(M23:M35)</f>
        <v>97516.91</v>
      </c>
      <c r="N36" s="270">
        <f>IFERROR(H36/M36,0)</f>
        <v>0.51276153028228644</v>
      </c>
      <c r="O36" s="271"/>
      <c r="P36" s="273">
        <v>97516.91</v>
      </c>
    </row>
    <row r="37" spans="1:16" x14ac:dyDescent="0.2">
      <c r="A37" s="9"/>
      <c r="B37" s="10"/>
      <c r="C37" s="10"/>
      <c r="D37" s="10"/>
      <c r="E37" s="10"/>
      <c r="F37" s="10"/>
      <c r="G37" s="284"/>
      <c r="H37" s="14"/>
      <c r="I37" s="213"/>
      <c r="J37" s="10"/>
      <c r="K37" s="10"/>
      <c r="L37" s="6"/>
      <c r="M37" s="268"/>
      <c r="N37" s="263"/>
      <c r="O37" s="264"/>
      <c r="P37" s="268"/>
    </row>
    <row r="38" spans="1:16" ht="24" x14ac:dyDescent="0.2">
      <c r="A38" s="12" t="s">
        <v>40</v>
      </c>
      <c r="B38" s="14">
        <f>B18-B36</f>
        <v>-7325.2799999999988</v>
      </c>
      <c r="C38" s="14">
        <f>C18-C36</f>
        <v>1798.75</v>
      </c>
      <c r="D38" s="14">
        <f>D18-D36</f>
        <v>-9100.4700000000012</v>
      </c>
      <c r="E38" s="14">
        <f>E18-E36</f>
        <v>2556.6299999999997</v>
      </c>
      <c r="F38" s="14">
        <f t="shared" ref="F38:G38" si="7">F18-F36</f>
        <v>0</v>
      </c>
      <c r="G38" s="287">
        <f t="shared" si="7"/>
        <v>1029.46</v>
      </c>
      <c r="H38" s="14">
        <f>H18-H36</f>
        <v>-11040.910000000003</v>
      </c>
      <c r="I38" s="214"/>
      <c r="J38" s="14">
        <f>J18-J36</f>
        <v>0</v>
      </c>
      <c r="K38" s="14">
        <f>K18-K36</f>
        <v>1029.46</v>
      </c>
      <c r="L38" s="6"/>
      <c r="M38" s="274">
        <f>M18-M36</f>
        <v>1689.1164999999892</v>
      </c>
      <c r="N38" s="274"/>
      <c r="O38" s="271"/>
      <c r="P38" s="274">
        <v>1689.1164999999901</v>
      </c>
    </row>
    <row r="39" spans="1:16" x14ac:dyDescent="0.2">
      <c r="A39" s="6"/>
      <c r="B39" s="15"/>
      <c r="C39" s="216"/>
      <c r="D39" s="15"/>
      <c r="E39" s="15"/>
      <c r="F39" s="216"/>
      <c r="G39" s="288"/>
      <c r="H39" s="280"/>
      <c r="I39" s="6"/>
      <c r="J39" s="15"/>
      <c r="K39" s="216"/>
      <c r="L39" s="6"/>
      <c r="M39" s="275"/>
      <c r="N39" s="275"/>
      <c r="O39" s="264"/>
      <c r="P39" s="275"/>
    </row>
    <row r="40" spans="1:16" x14ac:dyDescent="0.2">
      <c r="D40" s="16"/>
      <c r="E40" s="16"/>
      <c r="F40" s="16"/>
      <c r="G40" s="16"/>
    </row>
    <row r="41" spans="1:16" x14ac:dyDescent="0.2">
      <c r="H41" s="206"/>
    </row>
    <row r="42" spans="1:16" x14ac:dyDescent="0.2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6" x14ac:dyDescent="0.2">
      <c r="A43" s="4" t="s">
        <v>180</v>
      </c>
      <c r="B43" s="292">
        <f>D3</f>
        <v>45138</v>
      </c>
      <c r="C43" s="292"/>
      <c r="D43" s="292"/>
      <c r="H43" s="3"/>
      <c r="I43" s="3"/>
      <c r="J43" s="3"/>
      <c r="K43" s="3"/>
    </row>
    <row r="45" spans="1:16" x14ac:dyDescent="0.2">
      <c r="B45" s="2"/>
      <c r="C45" s="2"/>
    </row>
    <row r="46" spans="1:16" x14ac:dyDescent="0.2">
      <c r="A46" t="s">
        <v>8</v>
      </c>
      <c r="E46" s="2">
        <f>'Balance Sheet'!B16</f>
        <v>5146.0999999999985</v>
      </c>
      <c r="F46" s="2"/>
      <c r="G46" s="2"/>
    </row>
    <row r="47" spans="1:16" x14ac:dyDescent="0.2">
      <c r="E47" s="2"/>
      <c r="F47" s="2"/>
      <c r="G47" s="2"/>
    </row>
    <row r="48" spans="1:16" x14ac:dyDescent="0.2">
      <c r="A48" t="s">
        <v>9</v>
      </c>
      <c r="E48" s="2">
        <f>'Balance Sheet'!B32+'Balance Sheet'!B38</f>
        <v>6587.4000000000005</v>
      </c>
      <c r="F48" s="2"/>
      <c r="G48" s="2"/>
    </row>
    <row r="49" spans="1:7" x14ac:dyDescent="0.2">
      <c r="A49" t="s">
        <v>10</v>
      </c>
      <c r="E49" s="2">
        <f>'Balance Sheet'!B24</f>
        <v>44308.66</v>
      </c>
      <c r="F49" s="2"/>
      <c r="G49" s="2"/>
    </row>
    <row r="50" spans="1:7" x14ac:dyDescent="0.2">
      <c r="E50" s="2"/>
      <c r="F50" s="2"/>
      <c r="G50" s="2"/>
    </row>
    <row r="51" spans="1:7" x14ac:dyDescent="0.2">
      <c r="A51" t="s">
        <v>11</v>
      </c>
      <c r="E51" s="94">
        <f>E48+E49</f>
        <v>50896.060000000005</v>
      </c>
      <c r="F51" s="2"/>
      <c r="G51" s="2"/>
    </row>
    <row r="52" spans="1:7" x14ac:dyDescent="0.2">
      <c r="E52" s="2"/>
      <c r="F52" s="2"/>
      <c r="G52" s="2"/>
    </row>
    <row r="53" spans="1:7" x14ac:dyDescent="0.2">
      <c r="A53" t="s">
        <v>12</v>
      </c>
      <c r="E53" s="2">
        <f>-'Balance Sheet'!B43</f>
        <v>-1487.64</v>
      </c>
      <c r="F53" s="2"/>
      <c r="G53" s="2"/>
    </row>
    <row r="54" spans="1:7" x14ac:dyDescent="0.2">
      <c r="A54" t="s">
        <v>13</v>
      </c>
      <c r="E54" s="2">
        <f>-'Balance Sheet'!B46</f>
        <v>-13642.46</v>
      </c>
      <c r="F54" s="2"/>
      <c r="G54" s="2"/>
    </row>
    <row r="55" spans="1:7" x14ac:dyDescent="0.2">
      <c r="A55" t="s">
        <v>261</v>
      </c>
      <c r="E55" s="2">
        <f>-'Balance Sheet'!B44</f>
        <v>0</v>
      </c>
      <c r="F55" s="2"/>
      <c r="G55" s="2"/>
    </row>
    <row r="56" spans="1:7" x14ac:dyDescent="0.2">
      <c r="A56" t="s">
        <v>14</v>
      </c>
      <c r="E56" s="2">
        <f>-'Balance Sheet'!B45</f>
        <v>-2332.5100000000002</v>
      </c>
      <c r="F56" s="2"/>
      <c r="G56" s="2"/>
    </row>
    <row r="57" spans="1:7" x14ac:dyDescent="0.2">
      <c r="E57" s="2"/>
      <c r="F57" s="2"/>
      <c r="G57" s="2"/>
    </row>
    <row r="58" spans="1:7" x14ac:dyDescent="0.2">
      <c r="A58" t="s">
        <v>15</v>
      </c>
      <c r="E58" s="94">
        <f>SUM(E53:E57)</f>
        <v>-17462.61</v>
      </c>
      <c r="F58" s="2"/>
      <c r="G58" s="2"/>
    </row>
    <row r="59" spans="1:7" x14ac:dyDescent="0.2">
      <c r="E59" s="2"/>
      <c r="F59" s="2"/>
      <c r="G59" s="2"/>
    </row>
    <row r="60" spans="1:7" x14ac:dyDescent="0.2">
      <c r="E60" s="2"/>
      <c r="F60" s="2"/>
      <c r="G60" s="2"/>
    </row>
    <row r="61" spans="1:7" x14ac:dyDescent="0.2">
      <c r="A61" s="4" t="s">
        <v>16</v>
      </c>
      <c r="E61" s="93">
        <f>E46+E51+E58</f>
        <v>38579.550000000003</v>
      </c>
      <c r="F61" s="217"/>
      <c r="G61" s="217"/>
    </row>
    <row r="62" spans="1:7" x14ac:dyDescent="0.2">
      <c r="E62" s="2"/>
      <c r="F62" s="2"/>
      <c r="G62" s="2"/>
    </row>
    <row r="63" spans="1:7" x14ac:dyDescent="0.2">
      <c r="A63" t="s">
        <v>17</v>
      </c>
      <c r="E63" s="2"/>
      <c r="F63" s="2"/>
      <c r="G63" s="2"/>
    </row>
    <row r="64" spans="1:7" x14ac:dyDescent="0.2">
      <c r="E64" s="2"/>
      <c r="F64" s="2"/>
      <c r="G64" s="2"/>
    </row>
    <row r="65" spans="1:16" x14ac:dyDescent="0.2">
      <c r="A65" t="s">
        <v>18</v>
      </c>
      <c r="E65" s="2">
        <f>'Balance Sheet'!B52</f>
        <v>38579.550000000003</v>
      </c>
      <c r="F65" s="2"/>
      <c r="G65" s="2"/>
    </row>
    <row r="66" spans="1:16" x14ac:dyDescent="0.2">
      <c r="A66" t="s">
        <v>19</v>
      </c>
      <c r="E66" s="2">
        <f>'Balance Sheet'!B53</f>
        <v>0</v>
      </c>
      <c r="F66" s="2"/>
      <c r="G66" s="2"/>
    </row>
    <row r="67" spans="1:16" x14ac:dyDescent="0.2">
      <c r="E67" s="2"/>
      <c r="F67" s="2"/>
      <c r="G67" s="2"/>
    </row>
    <row r="68" spans="1:16" x14ac:dyDescent="0.2">
      <c r="A68" s="4" t="s">
        <v>20</v>
      </c>
      <c r="E68" s="93">
        <f>SUM(E65:E67)</f>
        <v>38579.550000000003</v>
      </c>
      <c r="F68" s="217"/>
      <c r="G68" s="217"/>
    </row>
    <row r="69" spans="1:16" x14ac:dyDescent="0.2">
      <c r="B69" s="2"/>
      <c r="C69" s="2"/>
    </row>
    <row r="75" spans="1:16" x14ac:dyDescent="0.2">
      <c r="P75" s="2"/>
    </row>
  </sheetData>
  <sheetProtection selectLockedCells="1" selectUnlockedCells="1"/>
  <mergeCells count="8">
    <mergeCell ref="P5:P6"/>
    <mergeCell ref="A1:L1"/>
    <mergeCell ref="A2:L2"/>
    <mergeCell ref="B43:D43"/>
    <mergeCell ref="B5:H6"/>
    <mergeCell ref="M5:N6"/>
    <mergeCell ref="J5:J6"/>
    <mergeCell ref="K5:K6"/>
  </mergeCells>
  <pageMargins left="0.2361111111111111" right="0.2361111111111111" top="0.74791666666666667" bottom="0.74791666666666667" header="0.51180555555555551" footer="0.51180555555555551"/>
  <pageSetup paperSize="9" scale="98" firstPageNumber="0" fitToHeight="0" orientation="portrait" r:id="rId1"/>
  <headerFooter alignWithMargins="0"/>
  <rowBreaks count="1" manualBreakCount="1">
    <brk id="41" max="16383" man="1"/>
  </row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2"/>
  <sheetViews>
    <sheetView workbookViewId="0">
      <selection activeCell="D45" sqref="D45"/>
    </sheetView>
  </sheetViews>
  <sheetFormatPr defaultRowHeight="12.75" x14ac:dyDescent="0.2"/>
  <sheetData>
    <row r="2" spans="1:1" x14ac:dyDescent="0.2">
      <c r="A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H126"/>
  <sheetViews>
    <sheetView zoomScaleNormal="100" workbookViewId="0">
      <pane xSplit="1" ySplit="5" topLeftCell="B90" activePane="bottomRight" state="frozen"/>
      <selection pane="topRight" activeCell="B1" sqref="B1"/>
      <selection pane="bottomLeft" activeCell="A6" sqref="A6"/>
      <selection pane="bottomRight" activeCell="E119" sqref="E119"/>
    </sheetView>
  </sheetViews>
  <sheetFormatPr defaultRowHeight="12.75" x14ac:dyDescent="0.2"/>
  <cols>
    <col min="1" max="1" width="52.85546875" customWidth="1"/>
    <col min="2" max="3" width="9.42578125" customWidth="1"/>
    <col min="4" max="4" width="8.5703125" customWidth="1"/>
    <col min="5" max="5" width="10" customWidth="1"/>
    <col min="6" max="7" width="11.28515625" customWidth="1"/>
    <col min="8" max="9" width="10" customWidth="1"/>
    <col min="10" max="10" width="9.42578125" customWidth="1"/>
    <col min="11" max="12" width="9.140625" customWidth="1"/>
    <col min="13" max="13" width="9.28515625" customWidth="1"/>
    <col min="14" max="14" width="10.28515625" customWidth="1"/>
    <col min="15" max="15" width="9.85546875" style="206" customWidth="1"/>
    <col min="16" max="16" width="9.5703125" style="206" customWidth="1"/>
    <col min="17" max="17" width="7.7109375" customWidth="1"/>
    <col min="18" max="18" width="9.42578125" customWidth="1"/>
    <col min="19" max="19" width="9.5703125" customWidth="1"/>
    <col min="20" max="20" width="7.7109375" customWidth="1"/>
    <col min="21" max="23" width="9.28515625" customWidth="1"/>
    <col min="24" max="24" width="10.28515625" customWidth="1"/>
    <col min="25" max="26" width="9.28515625" customWidth="1"/>
    <col min="27" max="27" width="9.5703125" customWidth="1"/>
    <col min="28" max="28" width="10.140625" customWidth="1"/>
    <col min="29" max="29" width="11.85546875" customWidth="1"/>
    <col min="30" max="30" width="11" customWidth="1"/>
    <col min="31" max="31" width="11.7109375" customWidth="1"/>
    <col min="32" max="32" width="9.140625" customWidth="1"/>
  </cols>
  <sheetData>
    <row r="1" spans="1:31" ht="18" x14ac:dyDescent="0.25">
      <c r="A1" s="297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</row>
    <row r="2" spans="1:31" ht="18" x14ac:dyDescent="0.25">
      <c r="A2" s="297" t="s">
        <v>358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</row>
    <row r="3" spans="1:31" x14ac:dyDescent="0.2">
      <c r="A3" s="299" t="s">
        <v>496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</row>
    <row r="4" spans="1:31" x14ac:dyDescent="0.2">
      <c r="B4" t="s">
        <v>192</v>
      </c>
      <c r="Q4" t="s">
        <v>193</v>
      </c>
    </row>
    <row r="5" spans="1:31" ht="48" x14ac:dyDescent="0.2">
      <c r="A5" s="17"/>
      <c r="B5" s="117" t="s">
        <v>414</v>
      </c>
      <c r="C5" s="117" t="s">
        <v>477</v>
      </c>
      <c r="D5" s="132" t="s">
        <v>52</v>
      </c>
      <c r="E5" s="117" t="s">
        <v>464</v>
      </c>
      <c r="F5" s="117" t="s">
        <v>469</v>
      </c>
      <c r="G5" s="117" t="s">
        <v>478</v>
      </c>
      <c r="H5" s="117" t="s">
        <v>470</v>
      </c>
      <c r="I5" s="117" t="s">
        <v>471</v>
      </c>
      <c r="J5" s="132" t="s">
        <v>24</v>
      </c>
      <c r="K5" s="117" t="s">
        <v>453</v>
      </c>
      <c r="L5" s="117" t="s">
        <v>461</v>
      </c>
      <c r="M5" s="132" t="s">
        <v>1</v>
      </c>
      <c r="N5" s="132" t="s">
        <v>195</v>
      </c>
      <c r="O5" s="223" t="s">
        <v>56</v>
      </c>
      <c r="P5" s="223" t="s">
        <v>51</v>
      </c>
      <c r="Q5" s="132" t="s">
        <v>196</v>
      </c>
      <c r="R5" s="117" t="s">
        <v>415</v>
      </c>
      <c r="S5" s="132" t="s">
        <v>52</v>
      </c>
      <c r="T5" s="132" t="s">
        <v>24</v>
      </c>
      <c r="U5" s="132" t="s">
        <v>23</v>
      </c>
      <c r="V5" s="132" t="s">
        <v>187</v>
      </c>
      <c r="W5" s="132" t="s">
        <v>1</v>
      </c>
      <c r="X5" s="132" t="s">
        <v>53</v>
      </c>
      <c r="Y5" s="132" t="s">
        <v>54</v>
      </c>
      <c r="Z5" s="132" t="s">
        <v>2</v>
      </c>
      <c r="AA5" s="132" t="s">
        <v>55</v>
      </c>
      <c r="AB5" s="132" t="s">
        <v>56</v>
      </c>
      <c r="AC5" s="132" t="s">
        <v>57</v>
      </c>
      <c r="AD5" s="132" t="s">
        <v>58</v>
      </c>
      <c r="AE5" s="168" t="s">
        <v>59</v>
      </c>
    </row>
    <row r="6" spans="1:31" x14ac:dyDescent="0.2">
      <c r="A6" s="133" t="s">
        <v>60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204"/>
      <c r="P6" s="207">
        <f>B6+J6+O6+E6+F6+H6+I6+C6+G6</f>
        <v>0</v>
      </c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34"/>
      <c r="AC6" s="134"/>
      <c r="AD6" s="134"/>
      <c r="AE6" s="161"/>
    </row>
    <row r="7" spans="1:31" x14ac:dyDescent="0.2">
      <c r="A7" s="133" t="s">
        <v>61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207">
        <f t="shared" ref="O7:O10" si="0">M7+N7+K7+L7</f>
        <v>0</v>
      </c>
      <c r="P7" s="207">
        <f t="shared" ref="P7:P31" si="1">B7+J7+O7+E7+F7+H7+I7+C7+G7</f>
        <v>0</v>
      </c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35">
        <f t="shared" ref="AB7:AB33" si="2">((((W7)+(X7))+(Y7))+(Z7))+(AA7)</f>
        <v>0</v>
      </c>
      <c r="AC7" s="135">
        <f>SUM(Q7:AA7)</f>
        <v>0</v>
      </c>
      <c r="AD7" s="134"/>
      <c r="AE7" s="162">
        <f t="shared" ref="AE7:AE33" si="3">((P7)+(AC7))+(AD7)</f>
        <v>0</v>
      </c>
    </row>
    <row r="8" spans="1:31" x14ac:dyDescent="0.2">
      <c r="A8" s="133" t="s">
        <v>62</v>
      </c>
      <c r="B8" s="159"/>
      <c r="C8" s="159"/>
      <c r="D8" s="159"/>
      <c r="E8" s="159"/>
      <c r="F8" s="159"/>
      <c r="G8" s="159"/>
      <c r="H8" s="159"/>
      <c r="I8" s="159"/>
      <c r="J8" s="160"/>
      <c r="K8" s="160"/>
      <c r="L8" s="160"/>
      <c r="M8" s="159"/>
      <c r="N8" s="159"/>
      <c r="O8" s="207">
        <f t="shared" si="0"/>
        <v>0</v>
      </c>
      <c r="P8" s="207">
        <f t="shared" si="1"/>
        <v>0</v>
      </c>
      <c r="Q8" s="159"/>
      <c r="R8" s="159"/>
      <c r="S8" s="37"/>
      <c r="T8" s="160"/>
      <c r="U8" s="159"/>
      <c r="V8" s="159"/>
      <c r="W8" s="159"/>
      <c r="X8" s="159"/>
      <c r="Y8" s="159"/>
      <c r="Z8" s="159"/>
      <c r="AA8" s="159"/>
      <c r="AB8" s="135">
        <f t="shared" si="2"/>
        <v>0</v>
      </c>
      <c r="AC8" s="135">
        <f>SUM(Q8:AA8)</f>
        <v>0</v>
      </c>
      <c r="AD8" s="134"/>
      <c r="AE8" s="162">
        <f t="shared" si="3"/>
        <v>0</v>
      </c>
    </row>
    <row r="9" spans="1:31" x14ac:dyDescent="0.2">
      <c r="A9" s="133" t="s">
        <v>63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60"/>
      <c r="N9" s="160"/>
      <c r="O9" s="207">
        <f t="shared" si="0"/>
        <v>0</v>
      </c>
      <c r="P9" s="207">
        <f t="shared" si="1"/>
        <v>0</v>
      </c>
      <c r="Q9" s="159"/>
      <c r="R9" s="159"/>
      <c r="S9" s="37">
        <v>823.92</v>
      </c>
      <c r="T9" s="160"/>
      <c r="U9" s="159"/>
      <c r="V9" s="159"/>
      <c r="W9" s="160"/>
      <c r="X9" s="159"/>
      <c r="Y9" s="159"/>
      <c r="Z9" s="159"/>
      <c r="AA9" s="159"/>
      <c r="AB9" s="135">
        <f t="shared" si="2"/>
        <v>0</v>
      </c>
      <c r="AC9" s="135">
        <f>SUM(Q9:AA9)</f>
        <v>823.92</v>
      </c>
      <c r="AD9" s="134"/>
      <c r="AE9" s="162">
        <f t="shared" si="3"/>
        <v>823.92</v>
      </c>
    </row>
    <row r="10" spans="1:31" x14ac:dyDescent="0.2">
      <c r="A10" s="35" t="s">
        <v>495</v>
      </c>
      <c r="B10" s="159"/>
      <c r="C10" s="159">
        <v>1501.46</v>
      </c>
      <c r="D10" s="159"/>
      <c r="E10" s="159"/>
      <c r="F10" s="159"/>
      <c r="G10" s="159"/>
      <c r="H10" s="159"/>
      <c r="I10" s="159"/>
      <c r="J10" s="159"/>
      <c r="K10" s="159"/>
      <c r="L10" s="159"/>
      <c r="M10" s="160"/>
      <c r="N10" s="160"/>
      <c r="O10" s="207">
        <f t="shared" si="0"/>
        <v>0</v>
      </c>
      <c r="P10" s="207">
        <f t="shared" si="1"/>
        <v>1501.46</v>
      </c>
      <c r="Q10" s="159"/>
      <c r="R10" s="159"/>
      <c r="S10" s="37"/>
      <c r="T10" s="160"/>
      <c r="U10" s="159"/>
      <c r="V10" s="159"/>
      <c r="W10" s="160"/>
      <c r="X10" s="159"/>
      <c r="Y10" s="159"/>
      <c r="Z10" s="159"/>
      <c r="AA10" s="159"/>
      <c r="AB10" s="135"/>
      <c r="AC10" s="135"/>
      <c r="AD10" s="134"/>
      <c r="AE10" s="162"/>
    </row>
    <row r="11" spans="1:31" ht="15" x14ac:dyDescent="0.25">
      <c r="A11" s="133" t="s">
        <v>64</v>
      </c>
      <c r="B11" s="136">
        <f t="shared" ref="B11:N11" si="4">((B7)+(B8))+(B9)</f>
        <v>0</v>
      </c>
      <c r="C11" s="136">
        <f>((C7)+(C8))+(C9)+C10</f>
        <v>1501.46</v>
      </c>
      <c r="D11" s="136">
        <f t="shared" si="4"/>
        <v>0</v>
      </c>
      <c r="E11" s="136">
        <f>((E7)+(E8))+(E9)+E10</f>
        <v>0</v>
      </c>
      <c r="F11" s="136">
        <f t="shared" ref="F11:I11" si="5">((F7)+(F8))+(F9)</f>
        <v>0</v>
      </c>
      <c r="G11" s="136">
        <f t="shared" ref="G11" si="6">((G7)+(G8))+(G9)</f>
        <v>0</v>
      </c>
      <c r="H11" s="136">
        <f t="shared" si="5"/>
        <v>0</v>
      </c>
      <c r="I11" s="136">
        <f t="shared" si="5"/>
        <v>0</v>
      </c>
      <c r="J11" s="136">
        <f t="shared" si="4"/>
        <v>0</v>
      </c>
      <c r="K11" s="136">
        <f t="shared" si="4"/>
        <v>0</v>
      </c>
      <c r="L11" s="136">
        <f t="shared" si="4"/>
        <v>0</v>
      </c>
      <c r="M11" s="136">
        <f>((M7)+(M8))+(M9)</f>
        <v>0</v>
      </c>
      <c r="N11" s="136">
        <f t="shared" si="4"/>
        <v>0</v>
      </c>
      <c r="O11" s="245">
        <f>M11+N11+L11+K11</f>
        <v>0</v>
      </c>
      <c r="P11" s="224">
        <f>B11+D11+J11+O11+E11+F11+H11+I11+C11+G11</f>
        <v>1501.46</v>
      </c>
      <c r="Q11" s="136">
        <f t="shared" ref="Q11:AA11" si="7">((Q7)+(Q8))+(Q9)</f>
        <v>0</v>
      </c>
      <c r="R11" s="136">
        <f t="shared" si="7"/>
        <v>0</v>
      </c>
      <c r="S11" s="136">
        <f t="shared" si="7"/>
        <v>823.92</v>
      </c>
      <c r="T11" s="136">
        <f t="shared" si="7"/>
        <v>0</v>
      </c>
      <c r="U11" s="136">
        <f t="shared" si="7"/>
        <v>0</v>
      </c>
      <c r="V11" s="136">
        <f t="shared" si="7"/>
        <v>0</v>
      </c>
      <c r="W11" s="136">
        <f t="shared" si="7"/>
        <v>0</v>
      </c>
      <c r="X11" s="136">
        <f t="shared" si="7"/>
        <v>0</v>
      </c>
      <c r="Y11" s="136">
        <f t="shared" si="7"/>
        <v>0</v>
      </c>
      <c r="Z11" s="136">
        <f t="shared" si="7"/>
        <v>0</v>
      </c>
      <c r="AA11" s="136">
        <f t="shared" si="7"/>
        <v>0</v>
      </c>
      <c r="AB11" s="136">
        <f t="shared" si="2"/>
        <v>0</v>
      </c>
      <c r="AC11" s="136">
        <f>(((((Q11)+(S11))+(T11))+(U11))+(V11))+(AB11)+R11</f>
        <v>823.92</v>
      </c>
      <c r="AD11" s="136">
        <f>((AD7)+(AD8))+(AD9)</f>
        <v>0</v>
      </c>
      <c r="AE11" s="170">
        <f t="shared" si="3"/>
        <v>2325.38</v>
      </c>
    </row>
    <row r="12" spans="1:31" x14ac:dyDescent="0.2">
      <c r="A12" s="133" t="s">
        <v>65</v>
      </c>
      <c r="B12" s="134"/>
      <c r="C12" s="134"/>
      <c r="D12" s="134"/>
      <c r="E12" s="134"/>
      <c r="F12" s="134"/>
      <c r="G12" s="134"/>
      <c r="H12" s="134"/>
      <c r="I12" s="134"/>
      <c r="J12" s="134"/>
      <c r="K12" s="251"/>
      <c r="L12" s="134"/>
      <c r="M12" s="134"/>
      <c r="N12" s="134"/>
      <c r="O12" s="207">
        <f t="shared" ref="O12:O16" si="8">M12+N12+K12+L12</f>
        <v>0</v>
      </c>
      <c r="P12" s="207">
        <f t="shared" si="1"/>
        <v>0</v>
      </c>
      <c r="Q12" s="134"/>
      <c r="R12" s="134"/>
      <c r="S12" s="37"/>
      <c r="T12" s="134"/>
      <c r="U12" s="134"/>
      <c r="V12" s="134"/>
      <c r="W12" s="134"/>
      <c r="X12" s="134"/>
      <c r="Y12" s="134"/>
      <c r="Z12" s="134"/>
      <c r="AA12" s="134"/>
      <c r="AB12" s="135">
        <f t="shared" si="2"/>
        <v>0</v>
      </c>
      <c r="AC12" s="135">
        <f>SUM(Q12:AA12)</f>
        <v>0</v>
      </c>
      <c r="AD12" s="134"/>
      <c r="AE12" s="162">
        <f>((P12)+(AC12))+(AD12)</f>
        <v>0</v>
      </c>
    </row>
    <row r="13" spans="1:31" x14ac:dyDescent="0.2">
      <c r="A13" s="133" t="s">
        <v>66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207">
        <f t="shared" si="8"/>
        <v>0</v>
      </c>
      <c r="P13" s="207">
        <f t="shared" si="1"/>
        <v>0</v>
      </c>
      <c r="Q13" s="159"/>
      <c r="R13" s="159"/>
      <c r="S13" s="37">
        <f>1516.25+231.7</f>
        <v>1747.95</v>
      </c>
      <c r="T13" s="160"/>
      <c r="U13" s="159"/>
      <c r="V13" s="159"/>
      <c r="W13" s="159"/>
      <c r="X13" s="159"/>
      <c r="Y13" s="159"/>
      <c r="Z13" s="159"/>
      <c r="AA13" s="159"/>
      <c r="AB13" s="135">
        <f t="shared" si="2"/>
        <v>0</v>
      </c>
      <c r="AC13" s="135">
        <f>SUM(Q13:AA13)</f>
        <v>1747.95</v>
      </c>
      <c r="AD13" s="134"/>
      <c r="AE13" s="162">
        <f t="shared" si="3"/>
        <v>1747.95</v>
      </c>
    </row>
    <row r="14" spans="1:31" x14ac:dyDescent="0.2">
      <c r="A14" s="133" t="s">
        <v>197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207">
        <f t="shared" si="8"/>
        <v>0</v>
      </c>
      <c r="P14" s="207">
        <f t="shared" si="1"/>
        <v>0</v>
      </c>
      <c r="Q14" s="159"/>
      <c r="R14" s="159"/>
      <c r="S14" s="37">
        <v>4550.6000000000004</v>
      </c>
      <c r="T14" s="160"/>
      <c r="U14" s="159"/>
      <c r="V14" s="159"/>
      <c r="W14" s="159"/>
      <c r="X14" s="159"/>
      <c r="Y14" s="159"/>
      <c r="Z14" s="159"/>
      <c r="AA14" s="159"/>
      <c r="AB14" s="135">
        <f t="shared" si="2"/>
        <v>0</v>
      </c>
      <c r="AC14" s="135">
        <f>SUM(Q14:AA14)</f>
        <v>4550.6000000000004</v>
      </c>
      <c r="AD14" s="134"/>
      <c r="AE14" s="162">
        <f t="shared" si="3"/>
        <v>4550.6000000000004</v>
      </c>
    </row>
    <row r="15" spans="1:31" x14ac:dyDescent="0.2">
      <c r="A15" s="133" t="s">
        <v>67</v>
      </c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207">
        <f t="shared" si="8"/>
        <v>0</v>
      </c>
      <c r="P15" s="207">
        <f t="shared" si="1"/>
        <v>0</v>
      </c>
      <c r="Q15" s="159"/>
      <c r="R15" s="159">
        <v>176.15</v>
      </c>
      <c r="S15" s="37">
        <v>13395.11</v>
      </c>
      <c r="T15" s="160"/>
      <c r="U15" s="159"/>
      <c r="V15" s="159"/>
      <c r="W15" s="159"/>
      <c r="X15" s="159"/>
      <c r="Y15" s="159"/>
      <c r="Z15" s="159"/>
      <c r="AA15" s="159"/>
      <c r="AB15" s="135">
        <f t="shared" si="2"/>
        <v>0</v>
      </c>
      <c r="AC15" s="135">
        <f>SUM(Q15:AA15)</f>
        <v>13571.26</v>
      </c>
      <c r="AD15" s="134"/>
      <c r="AE15" s="162">
        <f t="shared" si="3"/>
        <v>13571.26</v>
      </c>
    </row>
    <row r="16" spans="1:31" x14ac:dyDescent="0.2">
      <c r="A16" s="133" t="s">
        <v>198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207">
        <f t="shared" si="8"/>
        <v>0</v>
      </c>
      <c r="P16" s="207">
        <f t="shared" si="1"/>
        <v>0</v>
      </c>
      <c r="Q16" s="159"/>
      <c r="R16" s="159"/>
      <c r="S16" s="37"/>
      <c r="T16" s="160"/>
      <c r="U16" s="159"/>
      <c r="V16" s="159"/>
      <c r="W16" s="159"/>
      <c r="X16" s="159"/>
      <c r="Y16" s="159"/>
      <c r="Z16" s="159"/>
      <c r="AA16" s="159"/>
      <c r="AB16" s="135">
        <f t="shared" si="2"/>
        <v>0</v>
      </c>
      <c r="AC16" s="135">
        <f>SUM(Q16:AA16)</f>
        <v>0</v>
      </c>
      <c r="AD16" s="134"/>
      <c r="AE16" s="162">
        <f t="shared" si="3"/>
        <v>0</v>
      </c>
    </row>
    <row r="17" spans="1:31" ht="15" x14ac:dyDescent="0.25">
      <c r="A17" s="133" t="s">
        <v>199</v>
      </c>
      <c r="B17" s="136">
        <f t="shared" ref="B17:N17" si="9">(B15)+(B16)</f>
        <v>0</v>
      </c>
      <c r="C17" s="136">
        <f t="shared" ref="C17" si="10">(C15)+(C16)</f>
        <v>0</v>
      </c>
      <c r="D17" s="136">
        <f t="shared" si="9"/>
        <v>0</v>
      </c>
      <c r="E17" s="136">
        <f t="shared" si="9"/>
        <v>0</v>
      </c>
      <c r="F17" s="136">
        <f t="shared" si="9"/>
        <v>0</v>
      </c>
      <c r="G17" s="136">
        <f>(G15)+(G16)</f>
        <v>0</v>
      </c>
      <c r="H17" s="136">
        <f t="shared" si="9"/>
        <v>0</v>
      </c>
      <c r="I17" s="136">
        <f t="shared" si="9"/>
        <v>0</v>
      </c>
      <c r="J17" s="136">
        <f t="shared" si="9"/>
        <v>0</v>
      </c>
      <c r="K17" s="136">
        <f t="shared" si="9"/>
        <v>0</v>
      </c>
      <c r="L17" s="136">
        <f t="shared" si="9"/>
        <v>0</v>
      </c>
      <c r="M17" s="136">
        <f t="shared" si="9"/>
        <v>0</v>
      </c>
      <c r="N17" s="136">
        <f t="shared" si="9"/>
        <v>0</v>
      </c>
      <c r="O17" s="245">
        <f>M17+N17+L17+K17</f>
        <v>0</v>
      </c>
      <c r="P17" s="224">
        <f>B17+D17+J17+O17+E17+F17+H17+I17+C17+G17</f>
        <v>0</v>
      </c>
      <c r="Q17" s="136">
        <f t="shared" ref="Q17:Z17" si="11">(Q15)+(Q16)</f>
        <v>0</v>
      </c>
      <c r="R17" s="136">
        <f>(R15)+(R16)</f>
        <v>176.15</v>
      </c>
      <c r="S17" s="136">
        <f>(S15)+(S16)+S14+S13</f>
        <v>19693.66</v>
      </c>
      <c r="T17" s="136">
        <f t="shared" si="11"/>
        <v>0</v>
      </c>
      <c r="U17" s="136">
        <f t="shared" si="11"/>
        <v>0</v>
      </c>
      <c r="V17" s="136">
        <f t="shared" si="11"/>
        <v>0</v>
      </c>
      <c r="W17" s="136">
        <f t="shared" si="11"/>
        <v>0</v>
      </c>
      <c r="X17" s="136">
        <f>(X15)+(X16)</f>
        <v>0</v>
      </c>
      <c r="Y17" s="136">
        <f t="shared" si="11"/>
        <v>0</v>
      </c>
      <c r="Z17" s="136">
        <f t="shared" si="11"/>
        <v>0</v>
      </c>
      <c r="AA17" s="136">
        <f>(AA15)+(AA16)</f>
        <v>0</v>
      </c>
      <c r="AB17" s="136">
        <f t="shared" si="2"/>
        <v>0</v>
      </c>
      <c r="AC17" s="136">
        <f>(((((Q17)+(S17))+(T17))+(U17))+(V17))+(AB17)+R17</f>
        <v>19869.810000000001</v>
      </c>
      <c r="AD17" s="136">
        <f>(AD15)+(AD16)</f>
        <v>0</v>
      </c>
      <c r="AE17" s="170">
        <f>((P17)+(AC17))+(AD17)</f>
        <v>19869.810000000001</v>
      </c>
    </row>
    <row r="18" spans="1:31" x14ac:dyDescent="0.2">
      <c r="A18" s="133" t="s">
        <v>68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207">
        <f t="shared" ref="O18" si="12">M18+N18+K18+L18</f>
        <v>0</v>
      </c>
      <c r="P18" s="207">
        <f t="shared" si="1"/>
        <v>0</v>
      </c>
      <c r="Q18" s="134"/>
      <c r="R18" s="134"/>
      <c r="S18" s="37">
        <v>2000.86</v>
      </c>
      <c r="T18" s="134"/>
      <c r="U18" s="134"/>
      <c r="V18" s="134"/>
      <c r="W18" s="134"/>
      <c r="X18" s="134"/>
      <c r="Y18" s="134"/>
      <c r="Z18" s="134"/>
      <c r="AA18" s="134"/>
      <c r="AB18" s="135">
        <f t="shared" si="2"/>
        <v>0</v>
      </c>
      <c r="AC18" s="135">
        <f>SUM(Q18:AA18)</f>
        <v>2000.86</v>
      </c>
      <c r="AD18" s="134"/>
      <c r="AE18" s="162">
        <f t="shared" si="3"/>
        <v>2000.86</v>
      </c>
    </row>
    <row r="19" spans="1:31" x14ac:dyDescent="0.2">
      <c r="A19" s="133" t="s">
        <v>189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207">
        <f t="shared" ref="O19" si="13">M19+N19+K19+L19</f>
        <v>0</v>
      </c>
      <c r="P19" s="207">
        <f t="shared" si="1"/>
        <v>0</v>
      </c>
      <c r="Q19" s="134"/>
      <c r="R19" s="134"/>
      <c r="S19" s="160">
        <v>3856.23</v>
      </c>
      <c r="T19" s="134"/>
      <c r="U19" s="134"/>
      <c r="V19" s="134"/>
      <c r="W19" s="134"/>
      <c r="X19" s="134"/>
      <c r="Y19" s="134"/>
      <c r="Z19" s="134"/>
      <c r="AA19" s="134"/>
      <c r="AB19" s="135">
        <f t="shared" si="2"/>
        <v>0</v>
      </c>
      <c r="AC19" s="135">
        <f>SUM(Q19:AA19)</f>
        <v>3856.23</v>
      </c>
      <c r="AD19" s="134"/>
      <c r="AE19" s="162">
        <f t="shared" si="3"/>
        <v>3856.23</v>
      </c>
    </row>
    <row r="20" spans="1:31" ht="15" x14ac:dyDescent="0.25">
      <c r="A20" s="133" t="s">
        <v>69</v>
      </c>
      <c r="B20" s="136">
        <f t="shared" ref="B20:N20" si="14">((((B13)+(B14))+(B17))+(B18))+(B19)</f>
        <v>0</v>
      </c>
      <c r="C20" s="136">
        <f t="shared" ref="C20" si="15">((((C13)+(C14))+(C17))+(C18))+(C19)</f>
        <v>0</v>
      </c>
      <c r="D20" s="136">
        <f t="shared" si="14"/>
        <v>0</v>
      </c>
      <c r="E20" s="136">
        <f t="shared" si="14"/>
        <v>0</v>
      </c>
      <c r="F20" s="136">
        <f t="shared" si="14"/>
        <v>0</v>
      </c>
      <c r="G20" s="136">
        <f t="shared" ref="G20" si="16">((((G13)+(G14))+(G17))+(G18))+(G19)</f>
        <v>0</v>
      </c>
      <c r="H20" s="136">
        <f t="shared" si="14"/>
        <v>0</v>
      </c>
      <c r="I20" s="136">
        <f t="shared" si="14"/>
        <v>0</v>
      </c>
      <c r="J20" s="136">
        <f t="shared" si="14"/>
        <v>0</v>
      </c>
      <c r="K20" s="136">
        <f t="shared" si="14"/>
        <v>0</v>
      </c>
      <c r="L20" s="136">
        <f t="shared" si="14"/>
        <v>0</v>
      </c>
      <c r="M20" s="136">
        <f t="shared" si="14"/>
        <v>0</v>
      </c>
      <c r="N20" s="136">
        <f t="shared" si="14"/>
        <v>0</v>
      </c>
      <c r="O20" s="245">
        <f>M20+N20+L20+K20</f>
        <v>0</v>
      </c>
      <c r="P20" s="224">
        <f>B20+D20+J20+O20+E20+F20+H20+I20+C20+G20</f>
        <v>0</v>
      </c>
      <c r="Q20" s="136">
        <f t="shared" ref="Q20:AA20" si="17">((((Q13)+(Q14))+(Q17))+(Q18))+(Q19)</f>
        <v>0</v>
      </c>
      <c r="R20" s="136">
        <f>((((R13)+(R14))+(R17))+(R18))+(R19)+R12</f>
        <v>176.15</v>
      </c>
      <c r="S20" s="136">
        <f>S17+S12+S18+S19</f>
        <v>25550.75</v>
      </c>
      <c r="T20" s="136">
        <f t="shared" si="17"/>
        <v>0</v>
      </c>
      <c r="U20" s="136">
        <f t="shared" si="17"/>
        <v>0</v>
      </c>
      <c r="V20" s="136">
        <f t="shared" si="17"/>
        <v>0</v>
      </c>
      <c r="W20" s="136">
        <f t="shared" si="17"/>
        <v>0</v>
      </c>
      <c r="X20" s="136">
        <f t="shared" si="17"/>
        <v>0</v>
      </c>
      <c r="Y20" s="136">
        <f t="shared" si="17"/>
        <v>0</v>
      </c>
      <c r="Z20" s="136">
        <f t="shared" si="17"/>
        <v>0</v>
      </c>
      <c r="AA20" s="136">
        <f t="shared" si="17"/>
        <v>0</v>
      </c>
      <c r="AB20" s="136">
        <f t="shared" si="2"/>
        <v>0</v>
      </c>
      <c r="AC20" s="136">
        <f>(((((Q20)+(S20))+(T20))+(U20))+(V20))+(AB20)+R20</f>
        <v>25726.9</v>
      </c>
      <c r="AD20" s="136">
        <f>((((AD13)+(AD14))+(AD17))+(AD18))+(AD19)</f>
        <v>0</v>
      </c>
      <c r="AE20" s="170">
        <f>((P20)+(AC20))+(AD20)</f>
        <v>25726.9</v>
      </c>
    </row>
    <row r="21" spans="1:31" x14ac:dyDescent="0.2">
      <c r="A21" s="167" t="s">
        <v>70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207">
        <f>M21+N21+K21+L21</f>
        <v>0</v>
      </c>
      <c r="P21" s="207">
        <f t="shared" si="1"/>
        <v>0</v>
      </c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2">
        <f t="shared" si="2"/>
        <v>0</v>
      </c>
      <c r="AC21" s="162">
        <f>SUM(Q21:AA21)</f>
        <v>0</v>
      </c>
      <c r="AD21" s="161"/>
      <c r="AE21" s="162">
        <f t="shared" si="3"/>
        <v>0</v>
      </c>
    </row>
    <row r="22" spans="1:31" x14ac:dyDescent="0.2">
      <c r="A22" s="167" t="s">
        <v>71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207">
        <f t="shared" ref="O22:O26" si="18">M22+N22+K22+L22</f>
        <v>0</v>
      </c>
      <c r="P22" s="207">
        <f t="shared" si="1"/>
        <v>0</v>
      </c>
      <c r="Q22" s="161"/>
      <c r="R22" s="161"/>
      <c r="S22" s="161"/>
      <c r="T22" s="161"/>
      <c r="U22" s="161"/>
      <c r="V22" s="161"/>
      <c r="W22" s="161">
        <v>59</v>
      </c>
      <c r="X22" s="161"/>
      <c r="Y22" s="162"/>
      <c r="Z22" s="161"/>
      <c r="AA22" s="162"/>
      <c r="AB22" s="162">
        <f>((((W22)+(X22))+(Y22))+(Z22))+(AA22)</f>
        <v>59</v>
      </c>
      <c r="AC22" s="162">
        <f>SUM(Q22:AA22)</f>
        <v>59</v>
      </c>
      <c r="AD22" s="161"/>
      <c r="AE22" s="162">
        <f t="shared" si="3"/>
        <v>59</v>
      </c>
    </row>
    <row r="23" spans="1:31" x14ac:dyDescent="0.2">
      <c r="A23" s="167" t="s">
        <v>353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207">
        <f t="shared" si="18"/>
        <v>0</v>
      </c>
      <c r="P23" s="207">
        <f t="shared" si="1"/>
        <v>0</v>
      </c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2"/>
      <c r="AB23" s="162">
        <f t="shared" si="2"/>
        <v>0</v>
      </c>
      <c r="AC23" s="162">
        <f>SUM(Q23:AA23)</f>
        <v>0</v>
      </c>
      <c r="AD23" s="161"/>
      <c r="AE23" s="162">
        <f t="shared" si="3"/>
        <v>0</v>
      </c>
    </row>
    <row r="24" spans="1:31" x14ac:dyDescent="0.2">
      <c r="A24" s="167" t="s">
        <v>72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207">
        <f t="shared" si="18"/>
        <v>0</v>
      </c>
      <c r="P24" s="207">
        <f t="shared" si="1"/>
        <v>0</v>
      </c>
      <c r="Q24" s="161"/>
      <c r="R24" s="161"/>
      <c r="S24" s="161"/>
      <c r="T24" s="161"/>
      <c r="U24" s="161"/>
      <c r="V24" s="161"/>
      <c r="W24" s="161"/>
      <c r="X24" s="37">
        <v>46</v>
      </c>
      <c r="Y24" s="161"/>
      <c r="Z24" s="161"/>
      <c r="AA24" s="161"/>
      <c r="AB24" s="162">
        <f t="shared" si="2"/>
        <v>46</v>
      </c>
      <c r="AC24" s="162">
        <f>SUM(Q24:AA24)</f>
        <v>46</v>
      </c>
      <c r="AD24" s="161"/>
      <c r="AE24" s="162">
        <f t="shared" si="3"/>
        <v>46</v>
      </c>
    </row>
    <row r="25" spans="1:31" x14ac:dyDescent="0.2">
      <c r="A25" s="35" t="s">
        <v>474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>
        <v>160.1</v>
      </c>
      <c r="M25" s="161"/>
      <c r="N25" s="161"/>
      <c r="O25" s="207">
        <f t="shared" si="18"/>
        <v>160.1</v>
      </c>
      <c r="P25" s="207">
        <f t="shared" si="1"/>
        <v>160.1</v>
      </c>
      <c r="Q25" s="161"/>
      <c r="R25" s="161"/>
      <c r="S25" s="161"/>
      <c r="T25" s="161"/>
      <c r="U25" s="161"/>
      <c r="V25" s="161"/>
      <c r="W25" s="161"/>
      <c r="X25" s="37"/>
      <c r="Y25" s="161"/>
      <c r="Z25" s="161"/>
      <c r="AA25" s="161"/>
      <c r="AB25" s="162">
        <f t="shared" si="2"/>
        <v>0</v>
      </c>
      <c r="AC25" s="162">
        <f t="shared" ref="AC25:AC26" si="19">SUM(Q25:AA25)</f>
        <v>0</v>
      </c>
      <c r="AD25" s="161"/>
      <c r="AE25" s="162"/>
    </row>
    <row r="26" spans="1:31" x14ac:dyDescent="0.2">
      <c r="A26" s="35" t="s">
        <v>488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>
        <v>23</v>
      </c>
      <c r="L26" s="252"/>
      <c r="M26" s="161">
        <v>477.85</v>
      </c>
      <c r="N26" s="161"/>
      <c r="O26" s="207">
        <f t="shared" si="18"/>
        <v>500.85</v>
      </c>
      <c r="P26" s="207">
        <f t="shared" si="1"/>
        <v>500.85</v>
      </c>
      <c r="Q26" s="161"/>
      <c r="R26" s="161"/>
      <c r="S26" s="161"/>
      <c r="T26" s="161"/>
      <c r="U26" s="161"/>
      <c r="V26" s="161"/>
      <c r="W26" s="161">
        <v>471.75</v>
      </c>
      <c r="X26" s="37"/>
      <c r="Y26" s="161"/>
      <c r="Z26" s="252">
        <v>55</v>
      </c>
      <c r="AA26" s="161"/>
      <c r="AB26" s="162">
        <f t="shared" si="2"/>
        <v>526.75</v>
      </c>
      <c r="AC26" s="162">
        <f t="shared" si="19"/>
        <v>526.75</v>
      </c>
      <c r="AD26" s="161"/>
      <c r="AE26" s="162"/>
    </row>
    <row r="27" spans="1:31" ht="15" x14ac:dyDescent="0.25">
      <c r="A27" s="167" t="s">
        <v>73</v>
      </c>
      <c r="B27" s="163">
        <f>((B21)+(B22))+(B24)+B23+B25+B26</f>
        <v>0</v>
      </c>
      <c r="C27" s="163">
        <f>((C21)+(C22))+(C24)+C23+C25+C26</f>
        <v>0</v>
      </c>
      <c r="D27" s="163">
        <f t="shared" ref="D27:N27" si="20">((D21)+(D22))+(D24)+D23+D25+D26</f>
        <v>0</v>
      </c>
      <c r="E27" s="163">
        <f t="shared" si="20"/>
        <v>0</v>
      </c>
      <c r="F27" s="163">
        <f t="shared" si="20"/>
        <v>0</v>
      </c>
      <c r="G27" s="163">
        <f t="shared" ref="G27" si="21">((G21)+(G22))+(G24)+G23+G25+G26</f>
        <v>0</v>
      </c>
      <c r="H27" s="163">
        <f t="shared" si="20"/>
        <v>0</v>
      </c>
      <c r="I27" s="163">
        <f t="shared" si="20"/>
        <v>0</v>
      </c>
      <c r="J27" s="163">
        <f t="shared" si="20"/>
        <v>0</v>
      </c>
      <c r="K27" s="163">
        <f t="shared" si="20"/>
        <v>23</v>
      </c>
      <c r="L27" s="163">
        <f t="shared" si="20"/>
        <v>160.1</v>
      </c>
      <c r="M27" s="163">
        <f t="shared" si="20"/>
        <v>477.85</v>
      </c>
      <c r="N27" s="163">
        <f t="shared" si="20"/>
        <v>0</v>
      </c>
      <c r="O27" s="245">
        <f>M27+N27+L27+K27</f>
        <v>660.95</v>
      </c>
      <c r="P27" s="224">
        <f>B27+D27+J27+O27+E27+F27+H27+I27+C27+G27</f>
        <v>660.95</v>
      </c>
      <c r="Q27" s="163">
        <f>((Q21)+(Q22))+(Q24)+Q23+Q25+Q26</f>
        <v>0</v>
      </c>
      <c r="R27" s="163">
        <f t="shared" ref="R27:AA27" si="22">((R21)+(R22))+(R24)+R23+R25+R26</f>
        <v>0</v>
      </c>
      <c r="S27" s="163">
        <f t="shared" si="22"/>
        <v>0</v>
      </c>
      <c r="T27" s="163">
        <f t="shared" si="22"/>
        <v>0</v>
      </c>
      <c r="U27" s="163">
        <f t="shared" si="22"/>
        <v>0</v>
      </c>
      <c r="V27" s="163">
        <f t="shared" si="22"/>
        <v>0</v>
      </c>
      <c r="W27" s="163">
        <f t="shared" si="22"/>
        <v>530.75</v>
      </c>
      <c r="X27" s="163">
        <f t="shared" si="22"/>
        <v>46</v>
      </c>
      <c r="Y27" s="163">
        <f t="shared" si="22"/>
        <v>0</v>
      </c>
      <c r="Z27" s="163">
        <f>((Z21)+(Z22))+(Z24)+Z23+Z25+Z26</f>
        <v>55</v>
      </c>
      <c r="AA27" s="163">
        <f t="shared" si="22"/>
        <v>0</v>
      </c>
      <c r="AB27" s="163">
        <f>((((W27)+(X27))+(Y27))+(Z27))+(AA27)</f>
        <v>631.75</v>
      </c>
      <c r="AC27" s="136">
        <f>(((((Q27)+(S27))+(T27))+(U27))+(V27))+(AB27)+R27</f>
        <v>631.75</v>
      </c>
      <c r="AD27" s="163">
        <f>((AD21)+(AD22))+(AD24)</f>
        <v>0</v>
      </c>
      <c r="AE27" s="170">
        <f>((P27)+(AC27))+(AD27)</f>
        <v>1292.7</v>
      </c>
    </row>
    <row r="28" spans="1:31" ht="15" x14ac:dyDescent="0.25">
      <c r="A28" s="167" t="s">
        <v>74</v>
      </c>
      <c r="B28" s="161"/>
      <c r="C28" s="161"/>
      <c r="D28" s="161"/>
      <c r="E28" s="161"/>
      <c r="F28" s="161"/>
      <c r="G28" s="161"/>
      <c r="H28" s="161">
        <v>1875</v>
      </c>
      <c r="I28" s="161"/>
      <c r="J28" s="161">
        <v>3000</v>
      </c>
      <c r="K28" s="161"/>
      <c r="L28" s="161"/>
      <c r="M28" s="162">
        <v>1754.28</v>
      </c>
      <c r="N28" s="161"/>
      <c r="O28" s="207">
        <f t="shared" ref="O28:O31" si="23">M28+N28+K28+L28</f>
        <v>1754.28</v>
      </c>
      <c r="P28" s="207">
        <f>B28+J28+O28+E28+F28+H28+I28+C28+G28</f>
        <v>6629.28</v>
      </c>
      <c r="Q28" s="161"/>
      <c r="R28" s="161"/>
      <c r="S28" s="161"/>
      <c r="T28" s="161"/>
      <c r="U28" s="161"/>
      <c r="V28" s="161"/>
      <c r="W28" s="162"/>
      <c r="X28" s="161"/>
      <c r="Y28" s="161"/>
      <c r="Z28" s="161"/>
      <c r="AA28" s="161"/>
      <c r="AB28" s="162">
        <f t="shared" si="2"/>
        <v>0</v>
      </c>
      <c r="AC28" s="162">
        <f>SUM(Q28:AA28)</f>
        <v>0</v>
      </c>
      <c r="AD28" s="161"/>
      <c r="AE28" s="172">
        <f>((P28)+(AC28))+(AD28)</f>
        <v>6629.28</v>
      </c>
    </row>
    <row r="29" spans="1:31" x14ac:dyDescent="0.2">
      <c r="A29" s="167" t="s">
        <v>75</v>
      </c>
      <c r="B29" s="161"/>
      <c r="C29" s="161"/>
      <c r="D29" s="161"/>
      <c r="E29" s="161"/>
      <c r="F29" s="161"/>
      <c r="G29" s="161"/>
      <c r="H29" s="161">
        <f>5+58.09</f>
        <v>63.09</v>
      </c>
      <c r="I29" s="161"/>
      <c r="J29" s="161">
        <v>1068.95</v>
      </c>
      <c r="K29" s="161"/>
      <c r="L29" s="161"/>
      <c r="M29" s="161"/>
      <c r="N29" s="161"/>
      <c r="O29" s="207">
        <f t="shared" si="23"/>
        <v>0</v>
      </c>
      <c r="P29" s="207">
        <f t="shared" si="1"/>
        <v>1132.04</v>
      </c>
      <c r="Q29" s="161"/>
      <c r="R29" s="161"/>
      <c r="S29" s="37">
        <v>1372.9</v>
      </c>
      <c r="T29" s="162"/>
      <c r="U29" s="37"/>
      <c r="V29" s="161"/>
      <c r="W29" s="162"/>
      <c r="X29" s="161"/>
      <c r="Y29" s="161"/>
      <c r="Z29" s="37"/>
      <c r="AA29" s="161"/>
      <c r="AB29" s="162">
        <f>((((W29)+(X29))+(Y29))+(Z29))+(AA29)</f>
        <v>0</v>
      </c>
      <c r="AC29" s="162">
        <f>SUM(Q29:AA29)</f>
        <v>1372.9</v>
      </c>
      <c r="AD29" s="162"/>
      <c r="AE29" s="162">
        <f t="shared" si="3"/>
        <v>2504.94</v>
      </c>
    </row>
    <row r="30" spans="1:31" x14ac:dyDescent="0.2">
      <c r="A30" s="167" t="s">
        <v>76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>
        <f>20+52.1</f>
        <v>72.099999999999994</v>
      </c>
      <c r="N30" s="161"/>
      <c r="O30" s="207">
        <f t="shared" si="23"/>
        <v>72.099999999999994</v>
      </c>
      <c r="P30" s="207">
        <f t="shared" si="1"/>
        <v>72.099999999999994</v>
      </c>
      <c r="Q30" s="161"/>
      <c r="R30" s="161"/>
      <c r="S30" s="162"/>
      <c r="T30" s="162"/>
      <c r="U30" s="161"/>
      <c r="V30" s="161"/>
      <c r="W30" s="37">
        <v>410.71</v>
      </c>
      <c r="X30" s="37"/>
      <c r="Y30" s="37"/>
      <c r="Z30" s="161"/>
      <c r="AA30" s="162"/>
      <c r="AB30" s="162">
        <f>((((W30)+(X30))+(Y30))+(Z30))+(AA30)</f>
        <v>410.71</v>
      </c>
      <c r="AC30" s="162">
        <f>SUM(Q30:AA30)</f>
        <v>410.71</v>
      </c>
      <c r="AD30" s="161"/>
      <c r="AE30" s="162">
        <f t="shared" si="3"/>
        <v>482.80999999999995</v>
      </c>
    </row>
    <row r="31" spans="1:31" ht="15" x14ac:dyDescent="0.25">
      <c r="A31" s="167" t="s">
        <v>182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207">
        <f t="shared" si="23"/>
        <v>0</v>
      </c>
      <c r="P31" s="207">
        <f t="shared" si="1"/>
        <v>0</v>
      </c>
      <c r="Q31" s="161"/>
      <c r="R31" s="161"/>
      <c r="S31" s="161"/>
      <c r="T31" s="161"/>
      <c r="U31" s="161"/>
      <c r="V31" s="37"/>
      <c r="W31" s="161"/>
      <c r="X31" s="161"/>
      <c r="Y31" s="161"/>
      <c r="Z31" s="161"/>
      <c r="AA31" s="161"/>
      <c r="AB31" s="162">
        <f t="shared" si="2"/>
        <v>0</v>
      </c>
      <c r="AC31" s="162">
        <f>SUM(Q31:AA31)</f>
        <v>0</v>
      </c>
      <c r="AD31" s="161"/>
      <c r="AE31" s="172">
        <f t="shared" si="3"/>
        <v>0</v>
      </c>
    </row>
    <row r="32" spans="1:31" s="239" customFormat="1" ht="15" x14ac:dyDescent="0.25">
      <c r="A32" s="235" t="s">
        <v>77</v>
      </c>
      <c r="B32" s="236">
        <f t="shared" ref="B32:N32" si="24">(((((((B11)+(B12))+(B20))+(B27))+(B28))+(B29))+(B30))+(B31)</f>
        <v>0</v>
      </c>
      <c r="C32" s="236">
        <f t="shared" ref="C32" si="25">(((((((C11)+(C12))+(C20))+(C27))+(C28))+(C29))+(C30))+(C31)</f>
        <v>1501.46</v>
      </c>
      <c r="D32" s="236">
        <f t="shared" si="24"/>
        <v>0</v>
      </c>
      <c r="E32" s="236">
        <f t="shared" ref="E32:J32" si="26">(((((((E11)+(E12))+(E20))+(E27))+(E28))+(E29))+(E30))+(E31)</f>
        <v>0</v>
      </c>
      <c r="F32" s="236">
        <f t="shared" si="26"/>
        <v>0</v>
      </c>
      <c r="G32" s="236">
        <f t="shared" ref="G32" si="27">(((((((G11)+(G12))+(G20))+(G27))+(G28))+(G29))+(G30))+(G31)</f>
        <v>0</v>
      </c>
      <c r="H32" s="236">
        <f t="shared" si="26"/>
        <v>1938.09</v>
      </c>
      <c r="I32" s="236">
        <f>(((((((I11)+(I12))+(I20))+(I27))+(I28))+(I29))+(I30))+(I31)</f>
        <v>0</v>
      </c>
      <c r="J32" s="236">
        <f t="shared" si="26"/>
        <v>4068.95</v>
      </c>
      <c r="K32" s="236">
        <f>(((((((K11)+(K12))+(K20))+(K27))+(K28))+(K29))+(K30))+(K31)</f>
        <v>23</v>
      </c>
      <c r="L32" s="236">
        <f t="shared" si="24"/>
        <v>160.1</v>
      </c>
      <c r="M32" s="236">
        <f>(((((((M11)+(M12))+(M20))+(M27))+(M28))+(M29))+(M30))+(M31)</f>
        <v>2304.23</v>
      </c>
      <c r="N32" s="236">
        <f t="shared" si="24"/>
        <v>0</v>
      </c>
      <c r="O32" s="249">
        <f>M32+N32+L32+K32</f>
        <v>2487.33</v>
      </c>
      <c r="P32" s="250">
        <f>B32+D32+J32+O32+E32+F32+H32+I32+C32+G32</f>
        <v>9995.8299999999981</v>
      </c>
      <c r="Q32" s="236">
        <f t="shared" ref="Q32:AA32" si="28">(((((((Q11)+(Q12))+(Q20))+(Q27))+(Q28))+(Q29))+(Q30))+(Q31)</f>
        <v>0</v>
      </c>
      <c r="R32" s="236">
        <f>R11+R13+R14+R15+R16+R18+R19+R30+R29+R12+R31</f>
        <v>176.15</v>
      </c>
      <c r="S32" s="236">
        <f>S11+S13+S14+S15+S16+S18+S19+S30+S29+S12+S31+S28+S27</f>
        <v>27747.570000000003</v>
      </c>
      <c r="T32" s="236">
        <f>(((((((T11)+(T12))+(T20))+(T27))+(T28))+(T29))+(T30))+(T31)</f>
        <v>0</v>
      </c>
      <c r="U32" s="236">
        <f>(((((((U11)+(U12))+(U20))+(U27))+(U28))+(U29))+(U30))+(U31)</f>
        <v>0</v>
      </c>
      <c r="V32" s="236">
        <f t="shared" si="28"/>
        <v>0</v>
      </c>
      <c r="W32" s="236">
        <f>(((((((W11)+(W12))+(W20))+(W27))+(W28))+(W29))+(W30))+(W31)</f>
        <v>941.46</v>
      </c>
      <c r="X32" s="236">
        <f t="shared" si="28"/>
        <v>46</v>
      </c>
      <c r="Y32" s="236">
        <f t="shared" si="28"/>
        <v>0</v>
      </c>
      <c r="Z32" s="236">
        <f t="shared" si="28"/>
        <v>55</v>
      </c>
      <c r="AA32" s="236">
        <f t="shared" si="28"/>
        <v>0</v>
      </c>
      <c r="AB32" s="236">
        <f>((((W32)+(X32))+(Y32))+(Z32))+(AA32)</f>
        <v>1042.46</v>
      </c>
      <c r="AC32" s="237">
        <f>(((((Q32)+(S32))+(T32))+(U32))+(V32))+(AB32)+R32</f>
        <v>28966.180000000004</v>
      </c>
      <c r="AD32" s="236">
        <f>(((((((AD11)+(AD12))+(AD20))+(AD27))+(AD28))+(AD29))+(AD30))+(AD31)</f>
        <v>0</v>
      </c>
      <c r="AE32" s="238">
        <f>((P32)+(AC32))+(AD32)</f>
        <v>38962.01</v>
      </c>
    </row>
    <row r="33" spans="1:34" x14ac:dyDescent="0.2">
      <c r="A33" s="133" t="s">
        <v>78</v>
      </c>
      <c r="B33" s="136">
        <f t="shared" ref="B33:N33" si="29">(B32)-(0)</f>
        <v>0</v>
      </c>
      <c r="C33" s="136">
        <f t="shared" ref="C33" si="30">(C32)-(0)</f>
        <v>1501.46</v>
      </c>
      <c r="D33" s="136">
        <f t="shared" si="29"/>
        <v>0</v>
      </c>
      <c r="E33" s="136">
        <f t="shared" ref="E33:K33" si="31">(E32)-(0)</f>
        <v>0</v>
      </c>
      <c r="F33" s="136">
        <f t="shared" si="31"/>
        <v>0</v>
      </c>
      <c r="G33" s="136">
        <f t="shared" ref="G33" si="32">(G32)-(0)</f>
        <v>0</v>
      </c>
      <c r="H33" s="136">
        <f t="shared" si="31"/>
        <v>1938.09</v>
      </c>
      <c r="I33" s="136">
        <f t="shared" si="31"/>
        <v>0</v>
      </c>
      <c r="J33" s="136">
        <f t="shared" si="31"/>
        <v>4068.95</v>
      </c>
      <c r="K33" s="136">
        <f t="shared" si="31"/>
        <v>23</v>
      </c>
      <c r="L33" s="136">
        <f>(L32)-(0)</f>
        <v>160.1</v>
      </c>
      <c r="M33" s="136">
        <f t="shared" si="29"/>
        <v>2304.23</v>
      </c>
      <c r="N33" s="136">
        <f t="shared" si="29"/>
        <v>0</v>
      </c>
      <c r="O33" s="245">
        <f>M33+N33+L33+K33</f>
        <v>2487.33</v>
      </c>
      <c r="P33" s="224">
        <f>B33+D33+J33+O33+E33+F33+H33+I33+C33+G33</f>
        <v>9995.8299999999981</v>
      </c>
      <c r="Q33" s="136">
        <f t="shared" ref="Q33:AA33" si="33">(Q32)-(0)</f>
        <v>0</v>
      </c>
      <c r="R33" s="136">
        <f t="shared" ref="R33" si="34">(R32)-(0)</f>
        <v>176.15</v>
      </c>
      <c r="S33" s="136">
        <f t="shared" si="33"/>
        <v>27747.570000000003</v>
      </c>
      <c r="T33" s="136">
        <f t="shared" si="33"/>
        <v>0</v>
      </c>
      <c r="U33" s="136">
        <f t="shared" si="33"/>
        <v>0</v>
      </c>
      <c r="V33" s="136">
        <f t="shared" si="33"/>
        <v>0</v>
      </c>
      <c r="W33" s="136">
        <f t="shared" si="33"/>
        <v>941.46</v>
      </c>
      <c r="X33" s="136">
        <f t="shared" si="33"/>
        <v>46</v>
      </c>
      <c r="Y33" s="136">
        <f t="shared" si="33"/>
        <v>0</v>
      </c>
      <c r="Z33" s="136">
        <f t="shared" si="33"/>
        <v>55</v>
      </c>
      <c r="AA33" s="136">
        <f t="shared" si="33"/>
        <v>0</v>
      </c>
      <c r="AB33" s="136">
        <f t="shared" si="2"/>
        <v>1042.46</v>
      </c>
      <c r="AC33" s="136">
        <f>(((((Q33)+(S33))+(T33))+(U33))+(V33))+(AB33)+R33</f>
        <v>28966.180000000004</v>
      </c>
      <c r="AD33" s="136">
        <f>(AD32)-(0)</f>
        <v>0</v>
      </c>
      <c r="AE33" s="163">
        <f t="shared" si="3"/>
        <v>38962.01</v>
      </c>
    </row>
    <row r="34" spans="1:34" x14ac:dyDescent="0.2">
      <c r="A34" s="133" t="s">
        <v>79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207">
        <f t="shared" ref="O34:O42" si="35">M34+N34+K34+L34</f>
        <v>0</v>
      </c>
      <c r="P34" s="207">
        <f t="shared" ref="P34:P98" si="36">B34+J34+O34+E34+F34+H34+I34+C34+G34</f>
        <v>0</v>
      </c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34"/>
      <c r="AC34" s="134"/>
      <c r="AD34" s="134"/>
      <c r="AE34" s="161"/>
    </row>
    <row r="35" spans="1:34" x14ac:dyDescent="0.2">
      <c r="A35" s="133" t="s">
        <v>80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207">
        <f t="shared" si="35"/>
        <v>0</v>
      </c>
      <c r="P35" s="207">
        <f t="shared" si="36"/>
        <v>0</v>
      </c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35">
        <f t="shared" ref="AB35:AB112" si="37">((((W35)+(X35))+(Y35))+(Z35))+(AA35)</f>
        <v>0</v>
      </c>
      <c r="AC35" s="135">
        <f t="shared" ref="AC35:AC42" si="38">SUM(Q35:AA35)</f>
        <v>0</v>
      </c>
      <c r="AD35" s="134"/>
      <c r="AE35" s="162">
        <f t="shared" ref="AE35:AE68" si="39">((P35)+(AC35))+(AD35)</f>
        <v>0</v>
      </c>
    </row>
    <row r="36" spans="1:34" x14ac:dyDescent="0.2">
      <c r="A36" s="133" t="s">
        <v>81</v>
      </c>
      <c r="B36" s="159"/>
      <c r="C36" s="159"/>
      <c r="D36" s="159"/>
      <c r="E36" s="159"/>
      <c r="F36" s="159"/>
      <c r="G36" s="159"/>
      <c r="H36" s="159"/>
      <c r="I36" s="159"/>
      <c r="J36" s="160"/>
      <c r="K36" s="160"/>
      <c r="L36" s="160"/>
      <c r="M36" s="159"/>
      <c r="N36" s="159"/>
      <c r="O36" s="207">
        <f t="shared" si="35"/>
        <v>0</v>
      </c>
      <c r="P36" s="207">
        <f t="shared" si="36"/>
        <v>0</v>
      </c>
      <c r="Q36" s="159"/>
      <c r="R36" s="159"/>
      <c r="S36" s="175">
        <v>17322.11</v>
      </c>
      <c r="T36" s="160"/>
      <c r="U36" s="159"/>
      <c r="V36" s="159"/>
      <c r="W36" s="159"/>
      <c r="X36" s="159"/>
      <c r="Y36" s="159"/>
      <c r="Z36" s="159"/>
      <c r="AA36" s="159"/>
      <c r="AB36" s="135">
        <f t="shared" si="37"/>
        <v>0</v>
      </c>
      <c r="AC36" s="135">
        <f t="shared" si="38"/>
        <v>17322.11</v>
      </c>
      <c r="AD36" s="134"/>
      <c r="AE36" s="162">
        <f t="shared" si="39"/>
        <v>17322.11</v>
      </c>
    </row>
    <row r="37" spans="1:34" x14ac:dyDescent="0.2">
      <c r="A37" s="133" t="s">
        <v>82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207">
        <f t="shared" si="35"/>
        <v>0</v>
      </c>
      <c r="P37" s="207">
        <f t="shared" si="36"/>
        <v>0</v>
      </c>
      <c r="Q37" s="159"/>
      <c r="R37" s="159"/>
      <c r="S37" s="175">
        <v>1847.74</v>
      </c>
      <c r="T37" s="160"/>
      <c r="U37" s="159"/>
      <c r="V37" s="159"/>
      <c r="W37" s="159"/>
      <c r="X37" s="159"/>
      <c r="Y37" s="159"/>
      <c r="Z37" s="159"/>
      <c r="AA37" s="159"/>
      <c r="AB37" s="135">
        <f t="shared" si="37"/>
        <v>0</v>
      </c>
      <c r="AC37" s="135">
        <f t="shared" si="38"/>
        <v>1847.74</v>
      </c>
      <c r="AD37" s="134"/>
      <c r="AE37" s="162">
        <f t="shared" si="39"/>
        <v>1847.74</v>
      </c>
    </row>
    <row r="38" spans="1:34" x14ac:dyDescent="0.2">
      <c r="A38" s="133" t="s">
        <v>83</v>
      </c>
      <c r="B38" s="159"/>
      <c r="C38" s="159"/>
      <c r="D38" s="159"/>
      <c r="E38" s="159"/>
      <c r="F38" s="159"/>
      <c r="G38" s="159"/>
      <c r="H38" s="159"/>
      <c r="I38" s="159"/>
      <c r="J38" s="175">
        <v>986.5</v>
      </c>
      <c r="K38" s="175"/>
      <c r="L38" s="175">
        <v>330.72</v>
      </c>
      <c r="M38" s="37">
        <f>1603.7+262.68</f>
        <v>1866.38</v>
      </c>
      <c r="N38" s="37"/>
      <c r="O38" s="207">
        <f t="shared" si="35"/>
        <v>2197.1000000000004</v>
      </c>
      <c r="P38" s="207">
        <f t="shared" si="36"/>
        <v>3183.6000000000004</v>
      </c>
      <c r="Q38" s="159"/>
      <c r="R38" s="159"/>
      <c r="S38" s="204">
        <v>1912.46</v>
      </c>
      <c r="T38" s="159"/>
      <c r="U38" s="159"/>
      <c r="V38" s="159"/>
      <c r="W38" s="37">
        <v>3274.6</v>
      </c>
      <c r="X38" s="159"/>
      <c r="Y38" s="37">
        <v>3789.37</v>
      </c>
      <c r="Z38" s="159"/>
      <c r="AA38" s="159"/>
      <c r="AB38" s="135">
        <f>((((W38)+(X38))+(Y38))+(Z38))+(AA38)</f>
        <v>7063.9699999999993</v>
      </c>
      <c r="AC38" s="135">
        <f t="shared" si="38"/>
        <v>8976.43</v>
      </c>
      <c r="AD38" s="134"/>
      <c r="AE38" s="162">
        <f t="shared" si="39"/>
        <v>12160.03</v>
      </c>
    </row>
    <row r="39" spans="1:34" x14ac:dyDescent="0.2">
      <c r="A39" s="133" t="s">
        <v>84</v>
      </c>
      <c r="B39" s="159"/>
      <c r="C39" s="159"/>
      <c r="D39" s="159"/>
      <c r="E39" s="159"/>
      <c r="F39" s="159"/>
      <c r="G39" s="159"/>
      <c r="H39" s="159"/>
      <c r="I39" s="159"/>
      <c r="J39" s="159"/>
      <c r="K39" s="159">
        <v>665.5</v>
      </c>
      <c r="L39" s="159"/>
      <c r="M39" s="159"/>
      <c r="N39" s="159"/>
      <c r="O39" s="207">
        <f t="shared" si="35"/>
        <v>665.5</v>
      </c>
      <c r="P39" s="207">
        <f t="shared" si="36"/>
        <v>665.5</v>
      </c>
      <c r="Q39" s="159"/>
      <c r="R39" s="159"/>
      <c r="S39" s="175">
        <v>1770</v>
      </c>
      <c r="T39" s="160"/>
      <c r="U39" s="159"/>
      <c r="V39" s="159"/>
      <c r="W39" s="159"/>
      <c r="X39" s="159"/>
      <c r="Y39" s="159"/>
      <c r="Z39" s="159"/>
      <c r="AA39" s="159"/>
      <c r="AB39" s="135">
        <f t="shared" si="37"/>
        <v>0</v>
      </c>
      <c r="AC39" s="135">
        <f t="shared" si="38"/>
        <v>1770</v>
      </c>
      <c r="AD39" s="134"/>
      <c r="AE39" s="162">
        <f t="shared" si="39"/>
        <v>2435.5</v>
      </c>
    </row>
    <row r="40" spans="1:34" x14ac:dyDescent="0.2">
      <c r="A40" s="133" t="s">
        <v>85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207">
        <f t="shared" si="35"/>
        <v>0</v>
      </c>
      <c r="P40" s="207">
        <f t="shared" si="36"/>
        <v>0</v>
      </c>
      <c r="Q40" s="159"/>
      <c r="R40" s="159"/>
      <c r="S40" s="175">
        <v>1433.03</v>
      </c>
      <c r="T40" s="160"/>
      <c r="U40" s="159"/>
      <c r="V40" s="159"/>
      <c r="W40" s="159"/>
      <c r="X40" s="159"/>
      <c r="Y40" s="160"/>
      <c r="Z40" s="159"/>
      <c r="AA40" s="159"/>
      <c r="AB40" s="135">
        <f t="shared" si="37"/>
        <v>0</v>
      </c>
      <c r="AC40" s="135">
        <f t="shared" si="38"/>
        <v>1433.03</v>
      </c>
      <c r="AD40" s="134"/>
      <c r="AE40" s="162">
        <f t="shared" si="39"/>
        <v>1433.03</v>
      </c>
      <c r="AH40">
        <v>8.11</v>
      </c>
    </row>
    <row r="41" spans="1:34" x14ac:dyDescent="0.2">
      <c r="A41" s="35" t="s">
        <v>347</v>
      </c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207">
        <f t="shared" si="35"/>
        <v>0</v>
      </c>
      <c r="P41" s="207">
        <f t="shared" si="36"/>
        <v>0</v>
      </c>
      <c r="Q41" s="159"/>
      <c r="R41" s="159"/>
      <c r="S41" s="175"/>
      <c r="T41" s="160"/>
      <c r="U41" s="159"/>
      <c r="V41" s="159"/>
      <c r="W41" s="159"/>
      <c r="X41" s="159"/>
      <c r="Y41" s="159"/>
      <c r="Z41" s="159"/>
      <c r="AA41" s="159"/>
      <c r="AB41" s="135">
        <f>((((W41)+(X41))+(Y41))+(Z41))+(AA41)</f>
        <v>0</v>
      </c>
      <c r="AC41" s="135">
        <f t="shared" si="38"/>
        <v>0</v>
      </c>
      <c r="AD41" s="134"/>
      <c r="AE41" s="162">
        <f t="shared" si="39"/>
        <v>0</v>
      </c>
      <c r="AH41">
        <v>13.39</v>
      </c>
    </row>
    <row r="42" spans="1:34" x14ac:dyDescent="0.2">
      <c r="A42" s="35" t="s">
        <v>348</v>
      </c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207">
        <f t="shared" si="35"/>
        <v>0</v>
      </c>
      <c r="P42" s="207">
        <f t="shared" si="36"/>
        <v>0</v>
      </c>
      <c r="Q42" s="159"/>
      <c r="R42" s="159"/>
      <c r="S42" s="175">
        <v>646.71</v>
      </c>
      <c r="T42" s="160"/>
      <c r="U42" s="159"/>
      <c r="V42" s="159"/>
      <c r="W42" s="159">
        <v>33.9</v>
      </c>
      <c r="X42" s="159"/>
      <c r="Y42" s="159"/>
      <c r="Z42" s="159"/>
      <c r="AA42" s="159"/>
      <c r="AB42" s="135">
        <f>((((W42)+(X42))+(Y42))+(Z42))+(AA42)</f>
        <v>33.9</v>
      </c>
      <c r="AC42" s="135">
        <f t="shared" si="38"/>
        <v>680.61</v>
      </c>
      <c r="AD42" s="134"/>
      <c r="AE42" s="162">
        <f t="shared" si="39"/>
        <v>680.61</v>
      </c>
      <c r="AH42">
        <v>16.739999999999998</v>
      </c>
    </row>
    <row r="43" spans="1:34" ht="15" x14ac:dyDescent="0.25">
      <c r="A43" s="133" t="s">
        <v>86</v>
      </c>
      <c r="B43" s="136">
        <f t="shared" ref="B43:N43" si="40">(((((B35)+(B36))+(B37))+(B38))+(B39))+(B40)</f>
        <v>0</v>
      </c>
      <c r="C43" s="136">
        <f t="shared" ref="C43" si="41">(((((C35)+(C36))+(C37))+(C38))+(C39))+(C40)</f>
        <v>0</v>
      </c>
      <c r="D43" s="136">
        <f t="shared" si="40"/>
        <v>0</v>
      </c>
      <c r="E43" s="136">
        <f t="shared" ref="E43:I43" si="42">(((((E35)+(E36))+(E37))+(E38))+(E39))+(E40)</f>
        <v>0</v>
      </c>
      <c r="F43" s="136">
        <f t="shared" si="42"/>
        <v>0</v>
      </c>
      <c r="G43" s="136">
        <f t="shared" ref="G43" si="43">(((((G35)+(G36))+(G37))+(G38))+(G39))+(G40)</f>
        <v>0</v>
      </c>
      <c r="H43" s="136">
        <f t="shared" si="42"/>
        <v>0</v>
      </c>
      <c r="I43" s="136">
        <f t="shared" si="42"/>
        <v>0</v>
      </c>
      <c r="J43" s="136">
        <f t="shared" si="40"/>
        <v>986.5</v>
      </c>
      <c r="K43" s="136">
        <f>(((((K35)+(K36))+(K37))+(K38))+(K39))+(K40)</f>
        <v>665.5</v>
      </c>
      <c r="L43" s="136">
        <f>(((((L35)+(L36))+(L37))+(L38))+(L39))+(L40)</f>
        <v>330.72</v>
      </c>
      <c r="M43" s="136">
        <f>(((((M35)+(M36))+(M37))+(M38))+(M39))+(M40)</f>
        <v>1866.38</v>
      </c>
      <c r="N43" s="136">
        <f t="shared" si="40"/>
        <v>0</v>
      </c>
      <c r="O43" s="245">
        <f>M43+N43+L43+K43</f>
        <v>2862.6000000000004</v>
      </c>
      <c r="P43" s="224">
        <f>B43+D43+J43+O43+E43+F43+H43+I43+C43+G43</f>
        <v>3849.1000000000004</v>
      </c>
      <c r="Q43" s="136">
        <f t="shared" ref="Q43:AA43" si="44">(((((Q35)+(Q36))+(Q37))+(Q38))+(Q39))+(Q40)</f>
        <v>0</v>
      </c>
      <c r="R43" s="136">
        <f>(((((R35)+(R36))+(R37))+(R38))+(R39))+(R40)+R41+R42</f>
        <v>0</v>
      </c>
      <c r="S43" s="136">
        <f>(((((S35)+(S36))+(S37))+(S38))+(S39))+(S40)+S41+S42</f>
        <v>24932.05</v>
      </c>
      <c r="T43" s="136">
        <f t="shared" si="44"/>
        <v>0</v>
      </c>
      <c r="U43" s="136">
        <f t="shared" si="44"/>
        <v>0</v>
      </c>
      <c r="V43" s="136">
        <f>(((((V35)+(V36))+(V37))+(V38))+(V39))+(V40)</f>
        <v>0</v>
      </c>
      <c r="W43" s="136">
        <f>(((((W35)+(W36))+(W37))+(W38))+(W39))+(W40)+W41+W42</f>
        <v>3308.5</v>
      </c>
      <c r="X43" s="136">
        <f>(((((X35)+(X36))+(X37))+(X38))+(X39))+(X40)</f>
        <v>0</v>
      </c>
      <c r="Y43" s="136">
        <f t="shared" si="44"/>
        <v>3789.37</v>
      </c>
      <c r="Z43" s="136">
        <f t="shared" si="44"/>
        <v>0</v>
      </c>
      <c r="AA43" s="136">
        <f t="shared" si="44"/>
        <v>0</v>
      </c>
      <c r="AB43" s="136">
        <f>((((W43)+(X43))+(Y43))+(Z43))+(AA43)</f>
        <v>7097.87</v>
      </c>
      <c r="AC43" s="136">
        <f>(((((Q43)+(S43))+(T43))+(U43))+(V43))+(AB43)+R43</f>
        <v>32029.919999999998</v>
      </c>
      <c r="AD43" s="136">
        <f>(((((AD35)+(AD36))+(AD37))+(AD38))+(AD39))+(AD40)</f>
        <v>0</v>
      </c>
      <c r="AE43" s="208">
        <f t="shared" si="39"/>
        <v>35879.019999999997</v>
      </c>
      <c r="AH43">
        <v>12.99</v>
      </c>
    </row>
    <row r="44" spans="1:34" x14ac:dyDescent="0.2">
      <c r="A44" s="133" t="s">
        <v>87</v>
      </c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207">
        <f t="shared" ref="O44:O49" si="45">M44+N44+K44+L44</f>
        <v>0</v>
      </c>
      <c r="P44" s="207">
        <f t="shared" si="36"/>
        <v>0</v>
      </c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135">
        <f t="shared" si="37"/>
        <v>0</v>
      </c>
      <c r="AC44" s="135">
        <f t="shared" ref="AC44:AC49" si="46">(((((Q44)+(S44))+(T44))+(U44))+(V44))+(AB44)</f>
        <v>0</v>
      </c>
      <c r="AD44" s="134"/>
      <c r="AE44" s="162">
        <f t="shared" si="39"/>
        <v>0</v>
      </c>
    </row>
    <row r="45" spans="1:34" x14ac:dyDescent="0.2">
      <c r="A45" s="133" t="s">
        <v>200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207">
        <f t="shared" si="45"/>
        <v>0</v>
      </c>
      <c r="P45" s="207">
        <f t="shared" si="36"/>
        <v>0</v>
      </c>
      <c r="Q45" s="36"/>
      <c r="R45" s="36"/>
      <c r="S45" s="37"/>
      <c r="T45" s="36"/>
      <c r="U45" s="36"/>
      <c r="V45" s="36"/>
      <c r="W45" s="36"/>
      <c r="X45" s="36"/>
      <c r="Y45" s="36"/>
      <c r="Z45" s="36"/>
      <c r="AA45" s="36"/>
      <c r="AB45" s="135">
        <f t="shared" si="37"/>
        <v>0</v>
      </c>
      <c r="AC45" s="135">
        <f t="shared" si="46"/>
        <v>0</v>
      </c>
      <c r="AD45" s="134"/>
      <c r="AE45" s="162">
        <f t="shared" si="39"/>
        <v>0</v>
      </c>
    </row>
    <row r="46" spans="1:34" x14ac:dyDescent="0.2">
      <c r="A46" s="133" t="s">
        <v>329</v>
      </c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207">
        <f t="shared" si="45"/>
        <v>0</v>
      </c>
      <c r="P46" s="207">
        <f t="shared" si="36"/>
        <v>0</v>
      </c>
      <c r="Q46" s="36"/>
      <c r="R46" s="36"/>
      <c r="S46" s="37"/>
      <c r="T46" s="36"/>
      <c r="U46" s="36"/>
      <c r="V46" s="36"/>
      <c r="W46" s="36"/>
      <c r="X46" s="36"/>
      <c r="Y46" s="36"/>
      <c r="Z46" s="36"/>
      <c r="AA46" s="36"/>
      <c r="AB46" s="135">
        <f t="shared" si="37"/>
        <v>0</v>
      </c>
      <c r="AC46" s="135">
        <f t="shared" si="46"/>
        <v>0</v>
      </c>
      <c r="AD46" s="134"/>
      <c r="AE46" s="162">
        <f t="shared" si="39"/>
        <v>0</v>
      </c>
    </row>
    <row r="47" spans="1:34" x14ac:dyDescent="0.2">
      <c r="A47" s="133" t="s">
        <v>335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207">
        <f>M47+N47+K47+L47</f>
        <v>0</v>
      </c>
      <c r="P47" s="207">
        <f t="shared" si="36"/>
        <v>0</v>
      </c>
      <c r="Q47" s="36"/>
      <c r="R47" s="36"/>
      <c r="S47" s="37"/>
      <c r="T47" s="36"/>
      <c r="U47" s="36"/>
      <c r="V47" s="36"/>
      <c r="W47" s="36"/>
      <c r="X47" s="36"/>
      <c r="Y47" s="36"/>
      <c r="Z47" s="36"/>
      <c r="AA47" s="36"/>
      <c r="AB47" s="135">
        <f t="shared" si="37"/>
        <v>0</v>
      </c>
      <c r="AC47" s="135">
        <f t="shared" si="46"/>
        <v>0</v>
      </c>
      <c r="AD47" s="134"/>
      <c r="AE47" s="162">
        <f t="shared" si="39"/>
        <v>0</v>
      </c>
    </row>
    <row r="48" spans="1:34" x14ac:dyDescent="0.2">
      <c r="A48" s="133" t="s">
        <v>88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207">
        <f t="shared" si="45"/>
        <v>0</v>
      </c>
      <c r="P48" s="207">
        <f t="shared" si="36"/>
        <v>0</v>
      </c>
      <c r="Q48" s="36"/>
      <c r="R48" s="36"/>
      <c r="S48" s="37"/>
      <c r="T48" s="36"/>
      <c r="U48" s="36"/>
      <c r="V48" s="36"/>
      <c r="W48" s="36"/>
      <c r="X48" s="36"/>
      <c r="Y48" s="36"/>
      <c r="Z48" s="36"/>
      <c r="AA48" s="36"/>
      <c r="AB48" s="135">
        <f t="shared" si="37"/>
        <v>0</v>
      </c>
      <c r="AC48" s="135">
        <f t="shared" si="46"/>
        <v>0</v>
      </c>
      <c r="AD48" s="134"/>
      <c r="AE48" s="162">
        <f t="shared" si="39"/>
        <v>0</v>
      </c>
    </row>
    <row r="49" spans="1:31" x14ac:dyDescent="0.2">
      <c r="A49" s="133" t="s">
        <v>89</v>
      </c>
      <c r="B49" s="134"/>
      <c r="C49" s="134"/>
      <c r="D49" s="134"/>
      <c r="E49" s="134"/>
      <c r="F49" s="134"/>
      <c r="G49" s="134"/>
      <c r="H49" s="134"/>
      <c r="I49" s="134"/>
      <c r="J49" s="134">
        <v>361.8</v>
      </c>
      <c r="K49" s="134"/>
      <c r="L49" s="134"/>
      <c r="M49" s="134"/>
      <c r="N49" s="134"/>
      <c r="O49" s="207">
        <f t="shared" si="45"/>
        <v>0</v>
      </c>
      <c r="P49" s="207">
        <f t="shared" si="36"/>
        <v>361.8</v>
      </c>
      <c r="Q49" s="36"/>
      <c r="R49" s="36"/>
      <c r="S49" s="37">
        <v>26.45</v>
      </c>
      <c r="T49" s="36"/>
      <c r="U49" s="36"/>
      <c r="V49" s="36"/>
      <c r="W49" s="37"/>
      <c r="X49" s="36"/>
      <c r="Y49" s="36"/>
      <c r="Z49" s="36"/>
      <c r="AA49" s="36"/>
      <c r="AB49" s="135">
        <f t="shared" si="37"/>
        <v>0</v>
      </c>
      <c r="AC49" s="135">
        <f t="shared" si="46"/>
        <v>26.45</v>
      </c>
      <c r="AD49" s="134"/>
      <c r="AE49" s="162">
        <f t="shared" si="39"/>
        <v>388.25</v>
      </c>
    </row>
    <row r="50" spans="1:31" ht="15" x14ac:dyDescent="0.25">
      <c r="A50" s="133" t="s">
        <v>90</v>
      </c>
      <c r="B50" s="136">
        <f t="shared" ref="B50:N50" si="47">(((((B44)+(B45))+(B46))+(B47))+(B48))+(B49)</f>
        <v>0</v>
      </c>
      <c r="C50" s="136">
        <f t="shared" ref="C50" si="48">(((((C44)+(C45))+(C46))+(C47))+(C48))+(C49)</f>
        <v>0</v>
      </c>
      <c r="D50" s="136">
        <f t="shared" si="47"/>
        <v>0</v>
      </c>
      <c r="E50" s="136">
        <f t="shared" ref="E50:J50" si="49">(((((E44)+(E45))+(E46))+(E47))+(E48))+(E49)</f>
        <v>0</v>
      </c>
      <c r="F50" s="136">
        <f t="shared" si="49"/>
        <v>0</v>
      </c>
      <c r="G50" s="136">
        <f t="shared" ref="G50" si="50">(((((G44)+(G45))+(G46))+(G47))+(G48))+(G49)</f>
        <v>0</v>
      </c>
      <c r="H50" s="136">
        <f t="shared" si="49"/>
        <v>0</v>
      </c>
      <c r="I50" s="136">
        <f t="shared" si="49"/>
        <v>0</v>
      </c>
      <c r="J50" s="136">
        <f t="shared" si="49"/>
        <v>361.8</v>
      </c>
      <c r="K50" s="136">
        <f t="shared" si="47"/>
        <v>0</v>
      </c>
      <c r="L50" s="136">
        <f t="shared" si="47"/>
        <v>0</v>
      </c>
      <c r="M50" s="136">
        <f t="shared" si="47"/>
        <v>0</v>
      </c>
      <c r="N50" s="136">
        <f t="shared" si="47"/>
        <v>0</v>
      </c>
      <c r="O50" s="245">
        <f>M50+N50+L50+K50</f>
        <v>0</v>
      </c>
      <c r="P50" s="224">
        <f>B50+D50+J50+O50+E50+F50+H50+I50+C50+G50</f>
        <v>361.8</v>
      </c>
      <c r="Q50" s="136">
        <f t="shared" ref="Q50:AA50" si="51">(((((Q44)+(Q45))+(Q46))+(Q47))+(Q48))+(Q49)</f>
        <v>0</v>
      </c>
      <c r="R50" s="136">
        <f>(((((R44)+(R45))+(R46))+(R47))+(R48))+(R49)</f>
        <v>0</v>
      </c>
      <c r="S50" s="136">
        <f>(((((S44)+(S45))+(S46))+(S47))+(S48))+(S49)</f>
        <v>26.45</v>
      </c>
      <c r="T50" s="136">
        <f t="shared" si="51"/>
        <v>0</v>
      </c>
      <c r="U50" s="136">
        <f t="shared" si="51"/>
        <v>0</v>
      </c>
      <c r="V50" s="136">
        <f t="shared" si="51"/>
        <v>0</v>
      </c>
      <c r="W50" s="136">
        <f t="shared" si="51"/>
        <v>0</v>
      </c>
      <c r="X50" s="136">
        <f t="shared" si="51"/>
        <v>0</v>
      </c>
      <c r="Y50" s="136">
        <f t="shared" si="51"/>
        <v>0</v>
      </c>
      <c r="Z50" s="136">
        <f t="shared" si="51"/>
        <v>0</v>
      </c>
      <c r="AA50" s="136">
        <f t="shared" si="51"/>
        <v>0</v>
      </c>
      <c r="AB50" s="136">
        <f t="shared" si="37"/>
        <v>0</v>
      </c>
      <c r="AC50" s="136">
        <f>(((((Q50)+(S50))+(T50))+(U50))+(V50))+(AB50)+R50</f>
        <v>26.45</v>
      </c>
      <c r="AD50" s="136">
        <f>(((((AD44)+(AD45))+(AD46))+(AD47))+(AD48))+(AD49)</f>
        <v>0</v>
      </c>
      <c r="AE50" s="208">
        <f t="shared" si="39"/>
        <v>388.25</v>
      </c>
    </row>
    <row r="51" spans="1:31" ht="15" x14ac:dyDescent="0.25">
      <c r="A51" s="133" t="s">
        <v>91</v>
      </c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207">
        <f t="shared" ref="O51:O57" si="52">M51+N51+K51+L51</f>
        <v>0</v>
      </c>
      <c r="P51" s="207">
        <f t="shared" si="36"/>
        <v>0</v>
      </c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135">
        <f t="shared" si="37"/>
        <v>0</v>
      </c>
      <c r="AC51" s="135">
        <f t="shared" ref="AC51:AC57" si="53">(((((Q51)+(S51))+(T51))+(U51))+(V51))+(AB51)</f>
        <v>0</v>
      </c>
      <c r="AD51" s="134"/>
      <c r="AE51" s="171">
        <f t="shared" si="39"/>
        <v>0</v>
      </c>
    </row>
    <row r="52" spans="1:31" ht="15" x14ac:dyDescent="0.25">
      <c r="A52" s="133" t="s">
        <v>92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207">
        <f t="shared" si="52"/>
        <v>0</v>
      </c>
      <c r="P52" s="207">
        <f t="shared" si="36"/>
        <v>0</v>
      </c>
      <c r="Q52" s="36"/>
      <c r="R52" s="36"/>
      <c r="S52" s="37">
        <v>369.2</v>
      </c>
      <c r="T52" s="36"/>
      <c r="U52" s="36"/>
      <c r="V52" s="36"/>
      <c r="W52" s="36"/>
      <c r="X52" s="36"/>
      <c r="Y52" s="36"/>
      <c r="Z52" s="36"/>
      <c r="AA52" s="36"/>
      <c r="AB52" s="135">
        <f t="shared" si="37"/>
        <v>0</v>
      </c>
      <c r="AC52" s="135">
        <f t="shared" si="53"/>
        <v>369.2</v>
      </c>
      <c r="AD52" s="134"/>
      <c r="AE52" s="171">
        <f t="shared" si="39"/>
        <v>369.2</v>
      </c>
    </row>
    <row r="53" spans="1:31" ht="15" x14ac:dyDescent="0.25">
      <c r="A53" s="133" t="s">
        <v>93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207">
        <f t="shared" si="52"/>
        <v>0</v>
      </c>
      <c r="P53" s="207">
        <f t="shared" si="36"/>
        <v>0</v>
      </c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135">
        <f t="shared" si="37"/>
        <v>0</v>
      </c>
      <c r="AC53" s="135">
        <f t="shared" si="53"/>
        <v>0</v>
      </c>
      <c r="AD53" s="134"/>
      <c r="AE53" s="171">
        <f t="shared" si="39"/>
        <v>0</v>
      </c>
    </row>
    <row r="54" spans="1:31" ht="15" x14ac:dyDescent="0.25">
      <c r="A54" s="133" t="s">
        <v>94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207">
        <f t="shared" si="52"/>
        <v>0</v>
      </c>
      <c r="P54" s="207">
        <f t="shared" si="36"/>
        <v>0</v>
      </c>
      <c r="Q54" s="36"/>
      <c r="R54" s="36"/>
      <c r="S54" s="37">
        <v>1289.6400000000001</v>
      </c>
      <c r="T54" s="36"/>
      <c r="U54" s="36"/>
      <c r="V54" s="36"/>
      <c r="W54" s="36"/>
      <c r="X54" s="36"/>
      <c r="Y54" s="36"/>
      <c r="Z54" s="36"/>
      <c r="AA54" s="36"/>
      <c r="AB54" s="135">
        <f t="shared" si="37"/>
        <v>0</v>
      </c>
      <c r="AC54" s="135">
        <f t="shared" si="53"/>
        <v>1289.6400000000001</v>
      </c>
      <c r="AD54" s="134"/>
      <c r="AE54" s="171">
        <f t="shared" si="39"/>
        <v>1289.6400000000001</v>
      </c>
    </row>
    <row r="55" spans="1:31" ht="15" x14ac:dyDescent="0.25">
      <c r="A55" s="133" t="s">
        <v>95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207">
        <f t="shared" si="52"/>
        <v>0</v>
      </c>
      <c r="P55" s="207">
        <f t="shared" si="36"/>
        <v>0</v>
      </c>
      <c r="Q55" s="36"/>
      <c r="R55" s="36"/>
      <c r="S55" s="37">
        <v>1211.94</v>
      </c>
      <c r="T55" s="36"/>
      <c r="U55" s="36"/>
      <c r="V55" s="36"/>
      <c r="W55" s="36"/>
      <c r="X55" s="36"/>
      <c r="Y55" s="36"/>
      <c r="Z55" s="36"/>
      <c r="AA55" s="36"/>
      <c r="AB55" s="135">
        <f t="shared" si="37"/>
        <v>0</v>
      </c>
      <c r="AC55" s="135">
        <f t="shared" si="53"/>
        <v>1211.94</v>
      </c>
      <c r="AD55" s="134"/>
      <c r="AE55" s="171">
        <f t="shared" si="39"/>
        <v>1211.94</v>
      </c>
    </row>
    <row r="56" spans="1:31" ht="15" x14ac:dyDescent="0.25">
      <c r="A56" s="133" t="s">
        <v>96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207">
        <f t="shared" si="52"/>
        <v>0</v>
      </c>
      <c r="P56" s="207">
        <f t="shared" si="36"/>
        <v>0</v>
      </c>
      <c r="Q56" s="36"/>
      <c r="R56" s="36"/>
      <c r="S56" s="37">
        <v>1010.24</v>
      </c>
      <c r="T56" s="36"/>
      <c r="U56" s="36"/>
      <c r="V56" s="36"/>
      <c r="W56" s="36"/>
      <c r="X56" s="36"/>
      <c r="Y56" s="36"/>
      <c r="Z56" s="36"/>
      <c r="AA56" s="36"/>
      <c r="AB56" s="135">
        <f t="shared" si="37"/>
        <v>0</v>
      </c>
      <c r="AC56" s="135">
        <f t="shared" si="53"/>
        <v>1010.24</v>
      </c>
      <c r="AD56" s="134"/>
      <c r="AE56" s="171">
        <f t="shared" si="39"/>
        <v>1010.24</v>
      </c>
    </row>
    <row r="57" spans="1:31" ht="15" x14ac:dyDescent="0.25">
      <c r="A57" s="133" t="s">
        <v>97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207">
        <f t="shared" si="52"/>
        <v>0</v>
      </c>
      <c r="P57" s="207">
        <f t="shared" si="36"/>
        <v>0</v>
      </c>
      <c r="Q57" s="36"/>
      <c r="R57" s="36"/>
      <c r="S57" s="37">
        <v>817.86</v>
      </c>
      <c r="T57" s="36"/>
      <c r="U57" s="36"/>
      <c r="V57" s="36"/>
      <c r="W57" s="36"/>
      <c r="X57" s="36"/>
      <c r="Y57" s="36"/>
      <c r="Z57" s="36"/>
      <c r="AA57" s="36"/>
      <c r="AB57" s="135">
        <f t="shared" si="37"/>
        <v>0</v>
      </c>
      <c r="AC57" s="135">
        <f t="shared" si="53"/>
        <v>817.86</v>
      </c>
      <c r="AD57" s="134"/>
      <c r="AE57" s="171">
        <f t="shared" si="39"/>
        <v>817.86</v>
      </c>
    </row>
    <row r="58" spans="1:31" x14ac:dyDescent="0.2">
      <c r="A58" s="133" t="s">
        <v>98</v>
      </c>
      <c r="B58" s="136">
        <f t="shared" ref="B58:N58" si="54">((((B53)+(B54))+(B55))+(B56))+(B57)</f>
        <v>0</v>
      </c>
      <c r="C58" s="136">
        <f t="shared" ref="C58" si="55">((((C53)+(C54))+(C55))+(C56))+(C57)</f>
        <v>0</v>
      </c>
      <c r="D58" s="136">
        <f t="shared" si="54"/>
        <v>0</v>
      </c>
      <c r="E58" s="136">
        <f t="shared" ref="E58:J58" si="56">((((E53)+(E54))+(E55))+(E56))+(E57)</f>
        <v>0</v>
      </c>
      <c r="F58" s="136">
        <f t="shared" si="56"/>
        <v>0</v>
      </c>
      <c r="G58" s="136">
        <f t="shared" ref="G58" si="57">((((G53)+(G54))+(G55))+(G56))+(G57)</f>
        <v>0</v>
      </c>
      <c r="H58" s="136">
        <f t="shared" si="56"/>
        <v>0</v>
      </c>
      <c r="I58" s="136">
        <f t="shared" si="56"/>
        <v>0</v>
      </c>
      <c r="J58" s="136">
        <f t="shared" si="56"/>
        <v>0</v>
      </c>
      <c r="K58" s="136">
        <f t="shared" si="54"/>
        <v>0</v>
      </c>
      <c r="L58" s="136">
        <f t="shared" si="54"/>
        <v>0</v>
      </c>
      <c r="M58" s="136">
        <f t="shared" si="54"/>
        <v>0</v>
      </c>
      <c r="N58" s="136">
        <f t="shared" si="54"/>
        <v>0</v>
      </c>
      <c r="O58" s="245">
        <f>M58+N58+L58+K58</f>
        <v>0</v>
      </c>
      <c r="P58" s="224">
        <f>B58+D58+J58+O58+E58+F58+H58+I58+C58+G58</f>
        <v>0</v>
      </c>
      <c r="Q58" s="136">
        <f t="shared" ref="Q58:AA58" si="58">((((Q53)+(Q54))+(Q55))+(Q56))+(Q57)</f>
        <v>0</v>
      </c>
      <c r="R58" s="136">
        <f>((((R53)+(R54))+(R55))+(R56))+(R57)</f>
        <v>0</v>
      </c>
      <c r="S58" s="136">
        <f>((((S53)+(S54))+(S55))+(S56))+(S57)</f>
        <v>4329.6799999999994</v>
      </c>
      <c r="T58" s="136">
        <f t="shared" si="58"/>
        <v>0</v>
      </c>
      <c r="U58" s="136">
        <f>((((U53)+(U54))+(U55))+(U56))+(U57)</f>
        <v>0</v>
      </c>
      <c r="V58" s="136">
        <f t="shared" si="58"/>
        <v>0</v>
      </c>
      <c r="W58" s="136">
        <f t="shared" si="58"/>
        <v>0</v>
      </c>
      <c r="X58" s="136">
        <f t="shared" si="58"/>
        <v>0</v>
      </c>
      <c r="Y58" s="136">
        <f t="shared" si="58"/>
        <v>0</v>
      </c>
      <c r="Z58" s="136">
        <f t="shared" si="58"/>
        <v>0</v>
      </c>
      <c r="AA58" s="136">
        <f t="shared" si="58"/>
        <v>0</v>
      </c>
      <c r="AB58" s="136">
        <f t="shared" si="37"/>
        <v>0</v>
      </c>
      <c r="AC58" s="136">
        <f>(((((Q58)+(S58))+(T58))+(U58))+(V58))+(AB58)+R58</f>
        <v>4329.6799999999994</v>
      </c>
      <c r="AD58" s="136">
        <f>((((AD53)+(AD54))+(AD55))+(AD56))+(AD57)</f>
        <v>0</v>
      </c>
      <c r="AE58" s="163">
        <f>((P58)+(AC58))+(AD58)</f>
        <v>4329.6799999999994</v>
      </c>
    </row>
    <row r="59" spans="1:31" ht="15" x14ac:dyDescent="0.25">
      <c r="A59" s="133" t="s">
        <v>201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207">
        <f t="shared" ref="O59:O66" si="59">M59+N59+K59+L59</f>
        <v>0</v>
      </c>
      <c r="P59" s="207">
        <f t="shared" si="36"/>
        <v>0</v>
      </c>
      <c r="Q59" s="36"/>
      <c r="R59" s="36"/>
      <c r="S59" s="37">
        <v>441.48</v>
      </c>
      <c r="T59" s="36"/>
      <c r="U59" s="36"/>
      <c r="V59" s="36"/>
      <c r="W59" s="36"/>
      <c r="X59" s="36"/>
      <c r="Y59" s="36"/>
      <c r="Z59" s="36"/>
      <c r="AA59" s="36"/>
      <c r="AB59" s="135">
        <f t="shared" si="37"/>
        <v>0</v>
      </c>
      <c r="AC59" s="135">
        <f t="shared" ref="AC59:AC63" si="60">(((((Q59)+(S59))+(T59))+(U59))+(V59))+(AB59)</f>
        <v>441.48</v>
      </c>
      <c r="AD59" s="134"/>
      <c r="AE59" s="171">
        <f t="shared" si="39"/>
        <v>441.48</v>
      </c>
    </row>
    <row r="60" spans="1:31" x14ac:dyDescent="0.2">
      <c r="A60" s="133" t="s">
        <v>99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207">
        <f t="shared" si="59"/>
        <v>0</v>
      </c>
      <c r="P60" s="207">
        <f t="shared" si="36"/>
        <v>0</v>
      </c>
      <c r="Q60" s="36"/>
      <c r="R60" s="36"/>
      <c r="S60" s="37"/>
      <c r="T60" s="36"/>
      <c r="U60" s="36"/>
      <c r="V60" s="36"/>
      <c r="W60" s="36"/>
      <c r="X60" s="36"/>
      <c r="Y60" s="36"/>
      <c r="Z60" s="36"/>
      <c r="AA60" s="36"/>
      <c r="AB60" s="135">
        <f t="shared" si="37"/>
        <v>0</v>
      </c>
      <c r="AC60" s="135">
        <f t="shared" si="60"/>
        <v>0</v>
      </c>
      <c r="AD60" s="134"/>
      <c r="AE60" s="162">
        <f t="shared" si="39"/>
        <v>0</v>
      </c>
    </row>
    <row r="61" spans="1:31" x14ac:dyDescent="0.2">
      <c r="A61" s="133" t="s">
        <v>100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207">
        <f t="shared" si="59"/>
        <v>0</v>
      </c>
      <c r="P61" s="207">
        <f t="shared" si="36"/>
        <v>0</v>
      </c>
      <c r="Q61" s="36"/>
      <c r="R61" s="36"/>
      <c r="S61" s="36">
        <v>109.9</v>
      </c>
      <c r="T61" s="36"/>
      <c r="U61" s="36"/>
      <c r="V61" s="36"/>
      <c r="W61" s="36"/>
      <c r="X61" s="36"/>
      <c r="Y61" s="36"/>
      <c r="Z61" s="36"/>
      <c r="AA61" s="36"/>
      <c r="AB61" s="135">
        <f t="shared" si="37"/>
        <v>0</v>
      </c>
      <c r="AC61" s="135">
        <f t="shared" si="60"/>
        <v>109.9</v>
      </c>
      <c r="AD61" s="134"/>
      <c r="AE61" s="162">
        <f t="shared" si="39"/>
        <v>109.9</v>
      </c>
    </row>
    <row r="62" spans="1:31" x14ac:dyDescent="0.2">
      <c r="A62" s="133" t="s">
        <v>101</v>
      </c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207">
        <f t="shared" si="59"/>
        <v>0</v>
      </c>
      <c r="P62" s="207">
        <f t="shared" si="36"/>
        <v>0</v>
      </c>
      <c r="Q62" s="36"/>
      <c r="R62" s="36"/>
      <c r="S62" s="37">
        <v>1018.29</v>
      </c>
      <c r="T62" s="36"/>
      <c r="U62" s="36"/>
      <c r="V62" s="36"/>
      <c r="W62" s="36"/>
      <c r="X62" s="36"/>
      <c r="Y62" s="36"/>
      <c r="Z62" s="36"/>
      <c r="AA62" s="36"/>
      <c r="AB62" s="135">
        <f t="shared" si="37"/>
        <v>0</v>
      </c>
      <c r="AC62" s="135">
        <f t="shared" si="60"/>
        <v>1018.29</v>
      </c>
      <c r="AD62" s="134"/>
      <c r="AE62" s="162">
        <f t="shared" si="39"/>
        <v>1018.29</v>
      </c>
    </row>
    <row r="63" spans="1:31" x14ac:dyDescent="0.2">
      <c r="A63" s="133" t="s">
        <v>202</v>
      </c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207">
        <f t="shared" si="59"/>
        <v>0</v>
      </c>
      <c r="P63" s="207">
        <f t="shared" si="36"/>
        <v>0</v>
      </c>
      <c r="Q63" s="36"/>
      <c r="R63" s="36"/>
      <c r="S63" s="37">
        <v>552</v>
      </c>
      <c r="T63" s="36"/>
      <c r="U63" s="36"/>
      <c r="V63" s="36"/>
      <c r="W63" s="36"/>
      <c r="X63" s="36"/>
      <c r="Y63" s="36"/>
      <c r="Z63" s="36"/>
      <c r="AA63" s="36"/>
      <c r="AB63" s="135">
        <f t="shared" si="37"/>
        <v>0</v>
      </c>
      <c r="AC63" s="135">
        <f t="shared" si="60"/>
        <v>552</v>
      </c>
      <c r="AD63" s="134"/>
      <c r="AE63" s="162">
        <f t="shared" si="39"/>
        <v>552</v>
      </c>
    </row>
    <row r="64" spans="1:31" x14ac:dyDescent="0.2">
      <c r="A64" s="35" t="s">
        <v>465</v>
      </c>
      <c r="B64" s="134"/>
      <c r="C64" s="134"/>
      <c r="D64" s="134"/>
      <c r="E64" s="134">
        <v>364.62</v>
      </c>
      <c r="F64" s="134"/>
      <c r="G64" s="134"/>
      <c r="H64" s="134"/>
      <c r="I64" s="134"/>
      <c r="J64" s="134"/>
      <c r="K64" s="134"/>
      <c r="L64" s="134"/>
      <c r="M64" s="134"/>
      <c r="N64" s="134"/>
      <c r="O64" s="207">
        <f t="shared" si="59"/>
        <v>0</v>
      </c>
      <c r="P64" s="207">
        <f t="shared" si="36"/>
        <v>364.62</v>
      </c>
      <c r="Q64" s="36"/>
      <c r="R64" s="36"/>
      <c r="S64" s="37">
        <v>490.46</v>
      </c>
      <c r="T64" s="36"/>
      <c r="U64" s="36"/>
      <c r="V64" s="36"/>
      <c r="W64" s="36"/>
      <c r="X64" s="36"/>
      <c r="Y64" s="36"/>
      <c r="Z64" s="36"/>
      <c r="AA64" s="36"/>
      <c r="AB64" s="135">
        <f t="shared" ref="AB64" si="61">((((W64)+(X64))+(Y64))+(Z64))+(AA64)</f>
        <v>0</v>
      </c>
      <c r="AC64" s="135">
        <f t="shared" ref="AC64" si="62">(((((Q64)+(S64))+(T64))+(U64))+(V64))+(AB64)</f>
        <v>490.46</v>
      </c>
      <c r="AD64" s="134"/>
      <c r="AE64" s="162">
        <f t="shared" si="39"/>
        <v>855.07999999999993</v>
      </c>
    </row>
    <row r="65" spans="1:31" x14ac:dyDescent="0.2">
      <c r="A65" s="133" t="s">
        <v>203</v>
      </c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207">
        <f t="shared" si="59"/>
        <v>0</v>
      </c>
      <c r="P65" s="207">
        <f t="shared" si="36"/>
        <v>0</v>
      </c>
      <c r="Q65" s="36"/>
      <c r="R65" s="36"/>
      <c r="S65" s="37">
        <v>84</v>
      </c>
      <c r="T65" s="36"/>
      <c r="U65" s="36"/>
      <c r="V65" s="36"/>
      <c r="W65" s="36"/>
      <c r="X65" s="36"/>
      <c r="Y65" s="36"/>
      <c r="Z65" s="36"/>
      <c r="AA65" s="36"/>
      <c r="AB65" s="135">
        <f t="shared" si="37"/>
        <v>0</v>
      </c>
      <c r="AC65" s="135">
        <f>(((((Q65)+(S65))+(T65))+(U65))+(V65))+(AB65)</f>
        <v>84</v>
      </c>
      <c r="AD65" s="134"/>
      <c r="AE65" s="162">
        <f t="shared" si="39"/>
        <v>84</v>
      </c>
    </row>
    <row r="66" spans="1:31" x14ac:dyDescent="0.2">
      <c r="A66" s="35" t="s">
        <v>430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207">
        <f t="shared" si="59"/>
        <v>0</v>
      </c>
      <c r="P66" s="207">
        <f t="shared" si="36"/>
        <v>0</v>
      </c>
      <c r="Q66" s="36"/>
      <c r="R66" s="36"/>
      <c r="S66" s="220">
        <v>0</v>
      </c>
      <c r="T66" s="36"/>
      <c r="U66" s="36"/>
      <c r="V66" s="36"/>
      <c r="W66" s="36"/>
      <c r="X66" s="36"/>
      <c r="Y66" s="36"/>
      <c r="Z66" s="36"/>
      <c r="AA66" s="36"/>
      <c r="AB66" s="135">
        <f t="shared" si="37"/>
        <v>0</v>
      </c>
      <c r="AC66" s="135">
        <f>(((((Q66)+(S66))+(T66))+(U66))+(V66))+(AB66)</f>
        <v>0</v>
      </c>
      <c r="AD66" s="134"/>
      <c r="AE66" s="162">
        <f t="shared" si="39"/>
        <v>0</v>
      </c>
    </row>
    <row r="67" spans="1:31" x14ac:dyDescent="0.2">
      <c r="A67" s="133" t="s">
        <v>102</v>
      </c>
      <c r="B67" s="136">
        <f>(((B61)+(B62))+(B63))+(B65)+B64</f>
        <v>0</v>
      </c>
      <c r="C67" s="136">
        <f>(((C61)+(C62))+(C63))+(C65)+C64</f>
        <v>0</v>
      </c>
      <c r="D67" s="136">
        <f t="shared" ref="D67:N67" si="63">(((D61)+(D62))+(D63))+(D65)+D64</f>
        <v>0</v>
      </c>
      <c r="E67" s="136">
        <f t="shared" si="63"/>
        <v>364.62</v>
      </c>
      <c r="F67" s="136">
        <f t="shared" si="63"/>
        <v>0</v>
      </c>
      <c r="G67" s="136">
        <f t="shared" ref="G67" si="64">(((G61)+(G62))+(G63))+(G65)+G64</f>
        <v>0</v>
      </c>
      <c r="H67" s="136">
        <f t="shared" si="63"/>
        <v>0</v>
      </c>
      <c r="I67" s="136">
        <f t="shared" si="63"/>
        <v>0</v>
      </c>
      <c r="J67" s="136">
        <f t="shared" si="63"/>
        <v>0</v>
      </c>
      <c r="K67" s="136">
        <f t="shared" si="63"/>
        <v>0</v>
      </c>
      <c r="L67" s="136">
        <f t="shared" si="63"/>
        <v>0</v>
      </c>
      <c r="M67" s="136">
        <f t="shared" si="63"/>
        <v>0</v>
      </c>
      <c r="N67" s="136">
        <f t="shared" si="63"/>
        <v>0</v>
      </c>
      <c r="O67" s="245">
        <f>M67+N67+L67+K67</f>
        <v>0</v>
      </c>
      <c r="P67" s="224">
        <f>B67+D67+J67+O67+E67+F67+H67+I67+C67+G67</f>
        <v>364.62</v>
      </c>
      <c r="Q67" s="136">
        <f>(((Q61)+(Q62))+(Q63))+(Q65)+Q64</f>
        <v>0</v>
      </c>
      <c r="R67" s="136">
        <f t="shared" ref="R67:AA67" si="65">(((R61)+(R62))+(R63))+(R65)+R64</f>
        <v>0</v>
      </c>
      <c r="S67" s="136">
        <f>(((S61)+(S62))+(S63))+(S65)+S64+S66</f>
        <v>2254.65</v>
      </c>
      <c r="T67" s="136">
        <f t="shared" si="65"/>
        <v>0</v>
      </c>
      <c r="U67" s="136">
        <f t="shared" si="65"/>
        <v>0</v>
      </c>
      <c r="V67" s="136">
        <f t="shared" si="65"/>
        <v>0</v>
      </c>
      <c r="W67" s="136">
        <f t="shared" si="65"/>
        <v>0</v>
      </c>
      <c r="X67" s="136">
        <f t="shared" si="65"/>
        <v>0</v>
      </c>
      <c r="Y67" s="136">
        <f t="shared" si="65"/>
        <v>0</v>
      </c>
      <c r="Z67" s="136">
        <f t="shared" si="65"/>
        <v>0</v>
      </c>
      <c r="AA67" s="136">
        <f t="shared" si="65"/>
        <v>0</v>
      </c>
      <c r="AB67" s="136">
        <f>((((W67)+(X67))+(Y67))+(Z67))+(AA67)</f>
        <v>0</v>
      </c>
      <c r="AC67" s="136">
        <f>(((((Q67)+(S67))+(T67))+(U67))+(V67))+(AB67)+R67</f>
        <v>2254.65</v>
      </c>
      <c r="AD67" s="136">
        <f>(((AD61)+(AD62))+(AD63))+(AD65)</f>
        <v>0</v>
      </c>
      <c r="AE67" s="163">
        <f t="shared" si="39"/>
        <v>2619.27</v>
      </c>
    </row>
    <row r="68" spans="1:31" x14ac:dyDescent="0.2">
      <c r="A68" s="133" t="s">
        <v>103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207">
        <f t="shared" ref="O68:O69" si="66">M68+N68+K68+L68</f>
        <v>0</v>
      </c>
      <c r="P68" s="207">
        <f t="shared" si="36"/>
        <v>0</v>
      </c>
      <c r="Q68" s="134"/>
      <c r="R68" s="134"/>
      <c r="S68" s="160">
        <v>164.82</v>
      </c>
      <c r="T68" s="37">
        <f>0</f>
        <v>0</v>
      </c>
      <c r="U68" s="36"/>
      <c r="V68" s="36"/>
      <c r="W68" s="37"/>
      <c r="X68" s="36"/>
      <c r="Y68" s="37"/>
      <c r="Z68" s="36"/>
      <c r="AA68" s="36"/>
      <c r="AB68" s="135">
        <f t="shared" si="37"/>
        <v>0</v>
      </c>
      <c r="AC68" s="135">
        <f>(((((Q68)+(S68))+(T68))+(U68))+(V68))+(AB68)</f>
        <v>164.82</v>
      </c>
      <c r="AD68" s="134"/>
      <c r="AE68" s="162">
        <f t="shared" si="39"/>
        <v>164.82</v>
      </c>
    </row>
    <row r="69" spans="1:31" x14ac:dyDescent="0.2">
      <c r="A69" s="35" t="s">
        <v>364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207">
        <f t="shared" si="66"/>
        <v>0</v>
      </c>
      <c r="P69" s="207">
        <f t="shared" si="36"/>
        <v>0</v>
      </c>
      <c r="Q69" s="134"/>
      <c r="R69" s="134"/>
      <c r="S69" s="160"/>
      <c r="T69" s="37"/>
      <c r="U69" s="36"/>
      <c r="V69" s="36"/>
      <c r="W69" s="37"/>
      <c r="X69" s="36"/>
      <c r="Y69" s="37"/>
      <c r="Z69" s="36"/>
      <c r="AA69" s="36"/>
      <c r="AB69" s="135">
        <f>((((W69)+(X69))+(Y69))+(Z69))+(AA69)</f>
        <v>0</v>
      </c>
      <c r="AC69" s="135">
        <f>(((((Q69)+(S69))+(T69))+(U69))+(V69))+(AB69)</f>
        <v>0</v>
      </c>
      <c r="AD69" s="134"/>
      <c r="AE69" s="162">
        <f t="shared" ref="AE69:AE100" si="67">((P69)+(AC69))+(AD69)</f>
        <v>0</v>
      </c>
    </row>
    <row r="70" spans="1:31" x14ac:dyDescent="0.2">
      <c r="A70" s="133" t="s">
        <v>104</v>
      </c>
      <c r="B70" s="136">
        <f t="shared" ref="B70:N70" si="68">((((((B51)+(B52))+(B58))+(B59))+(B60))+(B67))+(B68)+B69</f>
        <v>0</v>
      </c>
      <c r="C70" s="136">
        <f t="shared" ref="C70" si="69">((((((C51)+(C52))+(C58))+(C59))+(C60))+(C67))+(C68)+C69</f>
        <v>0</v>
      </c>
      <c r="D70" s="136">
        <f t="shared" si="68"/>
        <v>0</v>
      </c>
      <c r="E70" s="136">
        <f t="shared" ref="E70:I70" si="70">((((((E51)+(E52))+(E58))+(E59))+(E60))+(E67))+(E68)+E69</f>
        <v>364.62</v>
      </c>
      <c r="F70" s="136">
        <f t="shared" si="70"/>
        <v>0</v>
      </c>
      <c r="G70" s="136">
        <f t="shared" ref="G70" si="71">((((((G51)+(G52))+(G58))+(G59))+(G60))+(G67))+(G68)+G69</f>
        <v>0</v>
      </c>
      <c r="H70" s="136">
        <f t="shared" si="70"/>
        <v>0</v>
      </c>
      <c r="I70" s="136">
        <f t="shared" si="70"/>
        <v>0</v>
      </c>
      <c r="J70" s="136">
        <f t="shared" si="68"/>
        <v>0</v>
      </c>
      <c r="K70" s="136">
        <f t="shared" si="68"/>
        <v>0</v>
      </c>
      <c r="L70" s="136">
        <f t="shared" si="68"/>
        <v>0</v>
      </c>
      <c r="M70" s="136">
        <f t="shared" si="68"/>
        <v>0</v>
      </c>
      <c r="N70" s="136">
        <f t="shared" si="68"/>
        <v>0</v>
      </c>
      <c r="O70" s="245">
        <f>M70+N70+L70+K70</f>
        <v>0</v>
      </c>
      <c r="P70" s="224">
        <f>B70+D70+J70+O70+E70+F70+H70+I70+C70+G70</f>
        <v>364.62</v>
      </c>
      <c r="Q70" s="136">
        <f>((((((Q51)+(Q52))+(Q58))+(Q59))+(Q60))+(Q67))+(Q68)+Q69</f>
        <v>0</v>
      </c>
      <c r="R70" s="136">
        <f t="shared" ref="R70:AA70" si="72">((((((R51)+(R52))+(R58))+(R59))+(R60))+(R67))+(R68)+R69</f>
        <v>0</v>
      </c>
      <c r="S70" s="136">
        <f>((((((S51)+(S52))+(S58))+(S59))+(S60))+(S67))+(S68)+S69</f>
        <v>7559.8299999999981</v>
      </c>
      <c r="T70" s="136">
        <f t="shared" si="72"/>
        <v>0</v>
      </c>
      <c r="U70" s="136">
        <f t="shared" si="72"/>
        <v>0</v>
      </c>
      <c r="V70" s="136">
        <f t="shared" si="72"/>
        <v>0</v>
      </c>
      <c r="W70" s="136">
        <f t="shared" si="72"/>
        <v>0</v>
      </c>
      <c r="X70" s="136">
        <f t="shared" si="72"/>
        <v>0</v>
      </c>
      <c r="Y70" s="136">
        <f t="shared" si="72"/>
        <v>0</v>
      </c>
      <c r="Z70" s="136">
        <f t="shared" si="72"/>
        <v>0</v>
      </c>
      <c r="AA70" s="136">
        <f t="shared" si="72"/>
        <v>0</v>
      </c>
      <c r="AB70" s="136">
        <f t="shared" si="37"/>
        <v>0</v>
      </c>
      <c r="AC70" s="136">
        <f>(((((Q70)+(S70))+(T70))+(U70))+(V70))+(AB70)+R70</f>
        <v>7559.8299999999981</v>
      </c>
      <c r="AD70" s="136">
        <f>((((((AD51)+(AD52))+(AD58))+(AD59))+(AD60))+(AD67))+(AD68)</f>
        <v>0</v>
      </c>
      <c r="AE70" s="163">
        <f t="shared" si="67"/>
        <v>7924.449999999998</v>
      </c>
    </row>
    <row r="71" spans="1:31" x14ac:dyDescent="0.2">
      <c r="A71" s="133" t="s">
        <v>105</v>
      </c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207">
        <f t="shared" ref="O71:O75" si="73">M71+N71+K71+L71</f>
        <v>0</v>
      </c>
      <c r="P71" s="207">
        <f t="shared" si="36"/>
        <v>0</v>
      </c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135">
        <f t="shared" si="37"/>
        <v>0</v>
      </c>
      <c r="AC71" s="135">
        <f>(((((Q71)+(S71))+(T71))+(U71))+(V71))+(AB71)</f>
        <v>0</v>
      </c>
      <c r="AD71" s="134"/>
      <c r="AE71" s="162">
        <f t="shared" si="67"/>
        <v>0</v>
      </c>
    </row>
    <row r="72" spans="1:31" x14ac:dyDescent="0.2">
      <c r="A72" s="133" t="s">
        <v>336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207">
        <f t="shared" si="73"/>
        <v>0</v>
      </c>
      <c r="P72" s="207">
        <f t="shared" si="36"/>
        <v>0</v>
      </c>
      <c r="Q72" s="36"/>
      <c r="R72" s="36"/>
      <c r="S72" s="37">
        <v>237</v>
      </c>
      <c r="T72" s="36"/>
      <c r="U72" s="36"/>
      <c r="V72" s="36"/>
      <c r="W72" s="36"/>
      <c r="X72" s="36"/>
      <c r="Y72" s="36"/>
      <c r="Z72" s="36"/>
      <c r="AA72" s="36"/>
      <c r="AB72" s="135">
        <f t="shared" si="37"/>
        <v>0</v>
      </c>
      <c r="AC72" s="135">
        <f>(((((Q72)+(S72))+(T72))+(U72))+(V72))+(AB72)</f>
        <v>237</v>
      </c>
      <c r="AD72" s="134"/>
      <c r="AE72" s="162">
        <f t="shared" si="67"/>
        <v>237</v>
      </c>
    </row>
    <row r="73" spans="1:31" x14ac:dyDescent="0.2">
      <c r="A73" s="133" t="s">
        <v>106</v>
      </c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207">
        <f t="shared" si="73"/>
        <v>0</v>
      </c>
      <c r="P73" s="207">
        <f t="shared" si="36"/>
        <v>0</v>
      </c>
      <c r="Q73" s="36"/>
      <c r="R73" s="36"/>
      <c r="S73" s="37"/>
      <c r="T73" s="36"/>
      <c r="U73" s="36"/>
      <c r="V73" s="36"/>
      <c r="W73" s="36"/>
      <c r="X73" s="36"/>
      <c r="Y73" s="36"/>
      <c r="Z73" s="36"/>
      <c r="AA73" s="36"/>
      <c r="AB73" s="135">
        <f t="shared" si="37"/>
        <v>0</v>
      </c>
      <c r="AC73" s="135">
        <f>(((((Q73)+(S73))+(T73))+(U73))+(V73))+(AB73)</f>
        <v>0</v>
      </c>
      <c r="AD73" s="134"/>
      <c r="AE73" s="162">
        <f t="shared" si="67"/>
        <v>0</v>
      </c>
    </row>
    <row r="74" spans="1:31" x14ac:dyDescent="0.2">
      <c r="A74" s="133" t="s">
        <v>107</v>
      </c>
      <c r="B74" s="134"/>
      <c r="C74" s="134"/>
      <c r="D74" s="134"/>
      <c r="E74" s="134"/>
      <c r="F74" s="134"/>
      <c r="G74" s="134"/>
      <c r="H74" s="134"/>
      <c r="I74" s="134"/>
      <c r="J74" s="135">
        <v>10.88</v>
      </c>
      <c r="K74" s="134"/>
      <c r="L74" s="134"/>
      <c r="M74" s="134"/>
      <c r="N74" s="134"/>
      <c r="O74" s="207">
        <f t="shared" si="73"/>
        <v>0</v>
      </c>
      <c r="P74" s="207">
        <f t="shared" si="36"/>
        <v>10.88</v>
      </c>
      <c r="Q74" s="36"/>
      <c r="R74" s="36"/>
      <c r="S74" s="37">
        <v>62.57</v>
      </c>
      <c r="T74" s="36"/>
      <c r="U74" s="36"/>
      <c r="V74" s="36"/>
      <c r="W74" s="36"/>
      <c r="X74" s="37"/>
      <c r="Y74" s="36"/>
      <c r="Z74" s="36"/>
      <c r="AA74" s="36"/>
      <c r="AB74" s="135">
        <f t="shared" si="37"/>
        <v>0</v>
      </c>
      <c r="AC74" s="135">
        <f>(((((Q74)+(S74))+(T74))+(U74))+(V74))+(AB74)</f>
        <v>62.57</v>
      </c>
      <c r="AD74" s="134"/>
      <c r="AE74" s="162">
        <f t="shared" si="67"/>
        <v>73.45</v>
      </c>
    </row>
    <row r="75" spans="1:31" x14ac:dyDescent="0.2">
      <c r="A75" s="133" t="s">
        <v>330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207">
        <f t="shared" si="73"/>
        <v>0</v>
      </c>
      <c r="P75" s="207">
        <f t="shared" si="36"/>
        <v>0</v>
      </c>
      <c r="Q75" s="36"/>
      <c r="R75" s="36"/>
      <c r="S75" s="37"/>
      <c r="T75" s="36"/>
      <c r="U75" s="36"/>
      <c r="V75" s="36"/>
      <c r="W75" s="36"/>
      <c r="X75" s="36"/>
      <c r="Y75" s="36"/>
      <c r="Z75" s="36"/>
      <c r="AA75" s="36"/>
      <c r="AB75" s="135">
        <f t="shared" si="37"/>
        <v>0</v>
      </c>
      <c r="AC75" s="135">
        <f>(((((Q75)+(S75))+(T75))+(U75))+(V75))+(AB75)</f>
        <v>0</v>
      </c>
      <c r="AD75" s="134"/>
      <c r="AE75" s="162">
        <f t="shared" si="67"/>
        <v>0</v>
      </c>
    </row>
    <row r="76" spans="1:31" ht="15" x14ac:dyDescent="0.25">
      <c r="A76" s="133" t="s">
        <v>108</v>
      </c>
      <c r="B76" s="136">
        <f t="shared" ref="B76:N76" si="74">((((B71)+(B72))+(B73))+(B74))+(B75)</f>
        <v>0</v>
      </c>
      <c r="C76" s="136">
        <f t="shared" ref="C76" si="75">((((C71)+(C72))+(C73))+(C74))+(C75)</f>
        <v>0</v>
      </c>
      <c r="D76" s="136">
        <f t="shared" si="74"/>
        <v>0</v>
      </c>
      <c r="E76" s="136">
        <f t="shared" ref="E76:I76" si="76">((((E71)+(E72))+(E73))+(E74))+(E75)</f>
        <v>0</v>
      </c>
      <c r="F76" s="136">
        <f t="shared" si="76"/>
        <v>0</v>
      </c>
      <c r="G76" s="136">
        <f t="shared" ref="G76" si="77">((((G71)+(G72))+(G73))+(G74))+(G75)</f>
        <v>0</v>
      </c>
      <c r="H76" s="136">
        <f t="shared" si="76"/>
        <v>0</v>
      </c>
      <c r="I76" s="136">
        <f t="shared" si="76"/>
        <v>0</v>
      </c>
      <c r="J76" s="136">
        <f>((((J71)+(J72))+(J73))+(J74))+(J75)</f>
        <v>10.88</v>
      </c>
      <c r="K76" s="136">
        <f t="shared" si="74"/>
        <v>0</v>
      </c>
      <c r="L76" s="136">
        <f t="shared" si="74"/>
        <v>0</v>
      </c>
      <c r="M76" s="136">
        <f t="shared" si="74"/>
        <v>0</v>
      </c>
      <c r="N76" s="136">
        <f t="shared" si="74"/>
        <v>0</v>
      </c>
      <c r="O76" s="245">
        <f>M76+N76+L76+K76</f>
        <v>0</v>
      </c>
      <c r="P76" s="224">
        <f>B76+D76+J76+O76+E76+F76+H76+I76+C76+G76</f>
        <v>10.88</v>
      </c>
      <c r="Q76" s="136">
        <f t="shared" ref="Q76:AA76" si="78">((((Q71)+(Q72))+(Q73))+(Q74))+(Q75)</f>
        <v>0</v>
      </c>
      <c r="R76" s="136">
        <f t="shared" si="78"/>
        <v>0</v>
      </c>
      <c r="S76" s="136">
        <f t="shared" si="78"/>
        <v>299.57</v>
      </c>
      <c r="T76" s="136">
        <f t="shared" si="78"/>
        <v>0</v>
      </c>
      <c r="U76" s="136">
        <f t="shared" si="78"/>
        <v>0</v>
      </c>
      <c r="V76" s="136">
        <f t="shared" si="78"/>
        <v>0</v>
      </c>
      <c r="W76" s="136">
        <f t="shared" si="78"/>
        <v>0</v>
      </c>
      <c r="X76" s="136">
        <f t="shared" si="78"/>
        <v>0</v>
      </c>
      <c r="Y76" s="136">
        <f t="shared" si="78"/>
        <v>0</v>
      </c>
      <c r="Z76" s="136">
        <f t="shared" si="78"/>
        <v>0</v>
      </c>
      <c r="AA76" s="136">
        <f t="shared" si="78"/>
        <v>0</v>
      </c>
      <c r="AB76" s="136">
        <f t="shared" si="37"/>
        <v>0</v>
      </c>
      <c r="AC76" s="136">
        <f>(((((Q76)+(S76))+(T76))+(U76))+(V76))+(AB76)+R76</f>
        <v>299.57</v>
      </c>
      <c r="AD76" s="136">
        <f>((((AD71)+(AD72))+(AD73))+(AD74))+(AD75)</f>
        <v>0</v>
      </c>
      <c r="AE76" s="173">
        <f t="shared" si="67"/>
        <v>310.45</v>
      </c>
    </row>
    <row r="77" spans="1:31" x14ac:dyDescent="0.2">
      <c r="A77" s="133" t="s">
        <v>109</v>
      </c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207">
        <f t="shared" ref="O77:O87" si="79">M77+N77+K77+L77</f>
        <v>0</v>
      </c>
      <c r="P77" s="207">
        <f t="shared" si="36"/>
        <v>0</v>
      </c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135">
        <f t="shared" si="37"/>
        <v>0</v>
      </c>
      <c r="AC77" s="135">
        <f t="shared" ref="AC77:AC87" si="80">(((((Q77)+(S77))+(T77))+(U77))+(V77))+(AB77)</f>
        <v>0</v>
      </c>
      <c r="AD77" s="134"/>
      <c r="AE77" s="162">
        <f t="shared" si="67"/>
        <v>0</v>
      </c>
    </row>
    <row r="78" spans="1:31" ht="15" x14ac:dyDescent="0.25">
      <c r="A78" s="35" t="s">
        <v>490</v>
      </c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207">
        <f t="shared" si="79"/>
        <v>0</v>
      </c>
      <c r="P78" s="207">
        <f t="shared" si="36"/>
        <v>0</v>
      </c>
      <c r="Q78" s="36"/>
      <c r="R78" s="36"/>
      <c r="S78" s="175">
        <v>407.72</v>
      </c>
      <c r="T78" s="36"/>
      <c r="U78" s="36"/>
      <c r="V78" s="36"/>
      <c r="W78" s="36"/>
      <c r="X78" s="36"/>
      <c r="Y78" s="36"/>
      <c r="Z78" s="36"/>
      <c r="AA78" s="36"/>
      <c r="AB78" s="135">
        <f t="shared" si="37"/>
        <v>0</v>
      </c>
      <c r="AC78" s="135">
        <f t="shared" si="80"/>
        <v>407.72</v>
      </c>
      <c r="AD78" s="134"/>
      <c r="AE78" s="176">
        <f t="shared" si="67"/>
        <v>407.72</v>
      </c>
    </row>
    <row r="79" spans="1:31" ht="15" x14ac:dyDescent="0.25">
      <c r="A79" s="133" t="s">
        <v>489</v>
      </c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207">
        <f t="shared" si="79"/>
        <v>0</v>
      </c>
      <c r="P79" s="207">
        <f t="shared" si="36"/>
        <v>0</v>
      </c>
      <c r="Q79" s="36"/>
      <c r="R79" s="36"/>
      <c r="S79" s="175">
        <v>175.15</v>
      </c>
      <c r="T79" s="36"/>
      <c r="U79" s="36"/>
      <c r="V79" s="36"/>
      <c r="W79" s="36"/>
      <c r="X79" s="36"/>
      <c r="Y79" s="36"/>
      <c r="Z79" s="36"/>
      <c r="AA79" s="36"/>
      <c r="AB79" s="135">
        <f t="shared" ref="AB79" si="81">((((W79)+(X79))+(Y79))+(Z79))+(AA79)</f>
        <v>0</v>
      </c>
      <c r="AC79" s="135">
        <f t="shared" ref="AC79" si="82">(((((Q79)+(S79))+(T79))+(U79))+(V79))+(AB79)</f>
        <v>175.15</v>
      </c>
      <c r="AD79" s="134"/>
      <c r="AE79" s="176">
        <f t="shared" ref="AE79" si="83">((P79)+(AC79))+(AD79)</f>
        <v>175.15</v>
      </c>
    </row>
    <row r="80" spans="1:31" ht="15" x14ac:dyDescent="0.25">
      <c r="A80" s="133" t="s">
        <v>110</v>
      </c>
      <c r="B80" s="159"/>
      <c r="C80" s="159"/>
      <c r="D80" s="159"/>
      <c r="E80" s="159"/>
      <c r="F80" s="159"/>
      <c r="G80" s="159"/>
      <c r="H80" s="159"/>
      <c r="I80" s="159"/>
      <c r="J80" s="222"/>
      <c r="K80" s="160"/>
      <c r="L80" s="160"/>
      <c r="M80" s="159"/>
      <c r="N80" s="160"/>
      <c r="O80" s="207">
        <f t="shared" si="79"/>
        <v>0</v>
      </c>
      <c r="P80" s="207">
        <f t="shared" si="36"/>
        <v>0</v>
      </c>
      <c r="Q80" s="36"/>
      <c r="R80" s="36"/>
      <c r="S80" s="175">
        <v>139.66999999999999</v>
      </c>
      <c r="T80" s="36"/>
      <c r="U80" s="36"/>
      <c r="V80" s="36"/>
      <c r="W80" s="37"/>
      <c r="X80" s="36"/>
      <c r="Y80" s="36"/>
      <c r="Z80" s="36"/>
      <c r="AA80" s="36"/>
      <c r="AB80" s="135">
        <f t="shared" si="37"/>
        <v>0</v>
      </c>
      <c r="AC80" s="135">
        <f t="shared" si="80"/>
        <v>139.66999999999999</v>
      </c>
      <c r="AD80" s="134"/>
      <c r="AE80" s="176">
        <f t="shared" si="67"/>
        <v>139.66999999999999</v>
      </c>
    </row>
    <row r="81" spans="1:31" ht="15" x14ac:dyDescent="0.25">
      <c r="A81" s="133" t="s">
        <v>111</v>
      </c>
      <c r="B81" s="159"/>
      <c r="C81" s="159"/>
      <c r="D81" s="159"/>
      <c r="E81" s="159"/>
      <c r="F81" s="159"/>
      <c r="G81" s="159"/>
      <c r="H81" s="159"/>
      <c r="I81" s="159"/>
      <c r="J81" s="160"/>
      <c r="K81" s="160"/>
      <c r="L81" s="160"/>
      <c r="M81" s="159"/>
      <c r="N81" s="159"/>
      <c r="O81" s="207">
        <f t="shared" si="79"/>
        <v>0</v>
      </c>
      <c r="P81" s="207">
        <f t="shared" si="36"/>
        <v>0</v>
      </c>
      <c r="Q81" s="36"/>
      <c r="R81" s="36"/>
      <c r="S81" s="175"/>
      <c r="T81" s="135"/>
      <c r="U81" s="36"/>
      <c r="V81" s="36"/>
      <c r="W81" s="36"/>
      <c r="X81" s="36"/>
      <c r="Y81" s="36"/>
      <c r="Z81" s="36"/>
      <c r="AA81" s="36"/>
      <c r="AB81" s="135">
        <f t="shared" si="37"/>
        <v>0</v>
      </c>
      <c r="AC81" s="135">
        <f t="shared" si="80"/>
        <v>0</v>
      </c>
      <c r="AD81" s="134"/>
      <c r="AE81" s="176">
        <f t="shared" si="67"/>
        <v>0</v>
      </c>
    </row>
    <row r="82" spans="1:31" ht="15" x14ac:dyDescent="0.25">
      <c r="A82" s="133" t="s">
        <v>112</v>
      </c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207">
        <f t="shared" si="79"/>
        <v>0</v>
      </c>
      <c r="P82" s="207">
        <f t="shared" si="36"/>
        <v>0</v>
      </c>
      <c r="Q82" s="36"/>
      <c r="R82" s="36"/>
      <c r="S82" s="175">
        <v>171.3</v>
      </c>
      <c r="T82" s="135"/>
      <c r="U82" s="36"/>
      <c r="V82" s="36"/>
      <c r="W82" s="36"/>
      <c r="X82" s="36"/>
      <c r="Y82" s="36"/>
      <c r="Z82" s="36"/>
      <c r="AA82" s="36"/>
      <c r="AB82" s="135">
        <f t="shared" si="37"/>
        <v>0</v>
      </c>
      <c r="AC82" s="135">
        <f t="shared" si="80"/>
        <v>171.3</v>
      </c>
      <c r="AD82" s="134"/>
      <c r="AE82" s="176">
        <f t="shared" si="67"/>
        <v>171.3</v>
      </c>
    </row>
    <row r="83" spans="1:31" ht="15" x14ac:dyDescent="0.25">
      <c r="A83" s="133" t="s">
        <v>113</v>
      </c>
      <c r="B83" s="159"/>
      <c r="C83" s="159">
        <v>72</v>
      </c>
      <c r="D83" s="159"/>
      <c r="E83" s="159"/>
      <c r="F83" s="159"/>
      <c r="G83" s="159"/>
      <c r="H83" s="159"/>
      <c r="I83" s="159"/>
      <c r="J83" s="159">
        <v>153.13999999999999</v>
      </c>
      <c r="K83" s="159"/>
      <c r="L83" s="159"/>
      <c r="M83" s="159"/>
      <c r="N83" s="159"/>
      <c r="O83" s="207">
        <f t="shared" si="79"/>
        <v>0</v>
      </c>
      <c r="P83" s="207">
        <f t="shared" si="36"/>
        <v>225.14</v>
      </c>
      <c r="Q83" s="36"/>
      <c r="R83" s="36"/>
      <c r="S83" s="175">
        <v>860.89</v>
      </c>
      <c r="T83" s="135"/>
      <c r="U83" s="36"/>
      <c r="V83" s="36"/>
      <c r="W83" s="36"/>
      <c r="X83" s="37">
        <v>208.8</v>
      </c>
      <c r="Y83" s="36"/>
      <c r="Z83" s="36"/>
      <c r="AA83" s="36"/>
      <c r="AB83" s="135">
        <f>((((W83)+(X83))+(Y83))+(Z83))+(AA83)</f>
        <v>208.8</v>
      </c>
      <c r="AC83" s="135">
        <f t="shared" si="80"/>
        <v>1069.69</v>
      </c>
      <c r="AD83" s="134"/>
      <c r="AE83" s="176">
        <f t="shared" si="67"/>
        <v>1294.83</v>
      </c>
    </row>
    <row r="84" spans="1:31" ht="13.5" customHeight="1" x14ac:dyDescent="0.25">
      <c r="A84" s="133" t="s">
        <v>114</v>
      </c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60"/>
      <c r="N84" s="159"/>
      <c r="O84" s="207">
        <f t="shared" si="79"/>
        <v>0</v>
      </c>
      <c r="P84" s="207">
        <f t="shared" si="36"/>
        <v>0</v>
      </c>
      <c r="Q84" s="36"/>
      <c r="R84" s="36"/>
      <c r="S84" s="175">
        <v>60.5</v>
      </c>
      <c r="T84" s="135"/>
      <c r="U84" s="36"/>
      <c r="V84" s="36"/>
      <c r="W84" s="36"/>
      <c r="X84" s="36"/>
      <c r="Y84" s="36"/>
      <c r="Z84" s="36"/>
      <c r="AA84" s="36"/>
      <c r="AB84" s="135">
        <f t="shared" si="37"/>
        <v>0</v>
      </c>
      <c r="AC84" s="135">
        <f t="shared" si="80"/>
        <v>60.5</v>
      </c>
      <c r="AD84" s="134"/>
      <c r="AE84" s="176">
        <f t="shared" si="67"/>
        <v>60.5</v>
      </c>
    </row>
    <row r="85" spans="1:31" ht="15" x14ac:dyDescent="0.25">
      <c r="A85" s="133" t="s">
        <v>115</v>
      </c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207">
        <f t="shared" si="79"/>
        <v>0</v>
      </c>
      <c r="P85" s="207">
        <f t="shared" si="36"/>
        <v>0</v>
      </c>
      <c r="Q85" s="36"/>
      <c r="R85" s="36"/>
      <c r="S85" s="175">
        <v>369.84</v>
      </c>
      <c r="T85" s="36"/>
      <c r="U85" s="36"/>
      <c r="V85" s="36"/>
      <c r="W85" s="36"/>
      <c r="X85" s="36"/>
      <c r="Y85" s="36"/>
      <c r="Z85" s="36"/>
      <c r="AA85" s="36"/>
      <c r="AB85" s="135">
        <f t="shared" si="37"/>
        <v>0</v>
      </c>
      <c r="AC85" s="135">
        <f t="shared" si="80"/>
        <v>369.84</v>
      </c>
      <c r="AD85" s="134"/>
      <c r="AE85" s="176">
        <f t="shared" si="67"/>
        <v>369.84</v>
      </c>
    </row>
    <row r="86" spans="1:31" ht="15" x14ac:dyDescent="0.25">
      <c r="A86" s="35" t="s">
        <v>349</v>
      </c>
      <c r="B86" s="159"/>
      <c r="C86" s="159"/>
      <c r="D86" s="159"/>
      <c r="E86" s="159"/>
      <c r="F86" s="159"/>
      <c r="G86" s="159"/>
      <c r="H86" s="159"/>
      <c r="I86" s="159"/>
      <c r="J86" s="160"/>
      <c r="K86" s="160"/>
      <c r="L86" s="160"/>
      <c r="M86" s="159"/>
      <c r="N86" s="159"/>
      <c r="O86" s="207">
        <f t="shared" si="79"/>
        <v>0</v>
      </c>
      <c r="P86" s="207">
        <f t="shared" si="36"/>
        <v>0</v>
      </c>
      <c r="Q86" s="36"/>
      <c r="R86" s="36"/>
      <c r="S86" s="135">
        <v>280.5</v>
      </c>
      <c r="T86" s="36"/>
      <c r="U86" s="36"/>
      <c r="V86" s="36"/>
      <c r="W86" s="36"/>
      <c r="X86" s="36"/>
      <c r="Y86" s="36"/>
      <c r="Z86" s="36"/>
      <c r="AA86" s="36"/>
      <c r="AB86" s="135">
        <f>((((W86)+(X86))+(Y86))+(Z86))+(AA86)</f>
        <v>0</v>
      </c>
      <c r="AC86" s="135">
        <f t="shared" si="80"/>
        <v>280.5</v>
      </c>
      <c r="AD86" s="134"/>
      <c r="AE86" s="176">
        <f t="shared" si="67"/>
        <v>280.5</v>
      </c>
    </row>
    <row r="87" spans="1:31" x14ac:dyDescent="0.2">
      <c r="A87" s="35" t="s">
        <v>363</v>
      </c>
      <c r="B87" s="144"/>
      <c r="C87" s="144"/>
      <c r="D87" s="145"/>
      <c r="E87" s="145"/>
      <c r="F87" s="145"/>
      <c r="G87" s="145"/>
      <c r="H87" s="145"/>
      <c r="I87" s="145"/>
      <c r="J87" s="144"/>
      <c r="K87" s="144"/>
      <c r="L87" s="144"/>
      <c r="M87" s="144"/>
      <c r="N87" s="144"/>
      <c r="O87" s="207">
        <f t="shared" si="79"/>
        <v>0</v>
      </c>
      <c r="P87" s="207">
        <f t="shared" si="36"/>
        <v>0</v>
      </c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6">
        <f>((((W87)+(X87))+(Y87))+(Z87))+(AA87)</f>
        <v>0</v>
      </c>
      <c r="AC87" s="146">
        <f t="shared" si="80"/>
        <v>0</v>
      </c>
      <c r="AD87" s="147"/>
      <c r="AE87" s="169">
        <f t="shared" si="67"/>
        <v>0</v>
      </c>
    </row>
    <row r="88" spans="1:31" x14ac:dyDescent="0.2">
      <c r="A88" s="35" t="s">
        <v>350</v>
      </c>
      <c r="B88" s="136">
        <f>B86+B87</f>
        <v>0</v>
      </c>
      <c r="C88" s="136">
        <f>C86+C87</f>
        <v>0</v>
      </c>
      <c r="D88" s="136">
        <f t="shared" ref="D88:N88" si="84">D86+D87</f>
        <v>0</v>
      </c>
      <c r="E88" s="136">
        <f t="shared" ref="E88:I88" si="85">E86+E87</f>
        <v>0</v>
      </c>
      <c r="F88" s="136">
        <f t="shared" si="85"/>
        <v>0</v>
      </c>
      <c r="G88" s="136">
        <f t="shared" ref="G88" si="86">G86+G87</f>
        <v>0</v>
      </c>
      <c r="H88" s="136">
        <f t="shared" si="85"/>
        <v>0</v>
      </c>
      <c r="I88" s="136">
        <f t="shared" si="85"/>
        <v>0</v>
      </c>
      <c r="J88" s="136">
        <f>J86+J87</f>
        <v>0</v>
      </c>
      <c r="K88" s="136">
        <f t="shared" si="84"/>
        <v>0</v>
      </c>
      <c r="L88" s="136">
        <f t="shared" si="84"/>
        <v>0</v>
      </c>
      <c r="M88" s="136">
        <f t="shared" si="84"/>
        <v>0</v>
      </c>
      <c r="N88" s="136">
        <f t="shared" si="84"/>
        <v>0</v>
      </c>
      <c r="O88" s="245">
        <f>M88+N88+L88+K88</f>
        <v>0</v>
      </c>
      <c r="P88" s="224">
        <f>B88+D88+J88+O88+E88+F88+H88+I88+C88+G88</f>
        <v>0</v>
      </c>
      <c r="Q88" s="136">
        <f t="shared" ref="Q88:AA88" si="87">Q86+Q87</f>
        <v>0</v>
      </c>
      <c r="R88" s="136">
        <f>R86+R87</f>
        <v>0</v>
      </c>
      <c r="S88" s="136">
        <f>S86+S87</f>
        <v>280.5</v>
      </c>
      <c r="T88" s="136">
        <f t="shared" si="87"/>
        <v>0</v>
      </c>
      <c r="U88" s="136">
        <f t="shared" si="87"/>
        <v>0</v>
      </c>
      <c r="V88" s="136">
        <f t="shared" si="87"/>
        <v>0</v>
      </c>
      <c r="W88" s="136">
        <f t="shared" si="87"/>
        <v>0</v>
      </c>
      <c r="X88" s="136">
        <f t="shared" si="87"/>
        <v>0</v>
      </c>
      <c r="Y88" s="136">
        <f t="shared" si="87"/>
        <v>0</v>
      </c>
      <c r="Z88" s="136">
        <f t="shared" si="87"/>
        <v>0</v>
      </c>
      <c r="AA88" s="136">
        <f t="shared" si="87"/>
        <v>0</v>
      </c>
      <c r="AB88" s="136">
        <f>((((W88)+(X88))+(Y88))+(Z88))+(AA88)</f>
        <v>0</v>
      </c>
      <c r="AC88" s="136">
        <f>(((((Q88)+(S88))+(T88))+(U88))+(V88))+(AB88)+R88</f>
        <v>280.5</v>
      </c>
      <c r="AD88" s="136">
        <f>((((AD83)+(AD84))+(AD85))+(AD86))+(AD87)</f>
        <v>0</v>
      </c>
      <c r="AE88" s="163">
        <f t="shared" si="67"/>
        <v>280.5</v>
      </c>
    </row>
    <row r="89" spans="1:31" ht="13.5" customHeight="1" x14ac:dyDescent="0.2">
      <c r="A89" s="133" t="s">
        <v>116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207">
        <f t="shared" ref="O89:O91" si="88">M89+N89+K89+L89</f>
        <v>0</v>
      </c>
      <c r="P89" s="207">
        <f t="shared" si="36"/>
        <v>0</v>
      </c>
      <c r="Q89" s="36"/>
      <c r="R89" s="36"/>
      <c r="S89" s="135"/>
      <c r="T89" s="135"/>
      <c r="U89" s="36"/>
      <c r="V89" s="36"/>
      <c r="W89" s="36"/>
      <c r="X89" s="36"/>
      <c r="Y89" s="36"/>
      <c r="Z89" s="36"/>
      <c r="AA89" s="36"/>
      <c r="AB89" s="135">
        <f t="shared" si="37"/>
        <v>0</v>
      </c>
      <c r="AC89" s="135">
        <f>(((((Q89)+(S89))+(T89))+(U89))+(V89))+(AB89)</f>
        <v>0</v>
      </c>
      <c r="AD89" s="134"/>
      <c r="AE89" s="162">
        <f t="shared" si="67"/>
        <v>0</v>
      </c>
    </row>
    <row r="90" spans="1:31" s="206" customFormat="1" ht="13.5" customHeight="1" x14ac:dyDescent="0.2">
      <c r="A90" s="205" t="s">
        <v>413</v>
      </c>
      <c r="B90" s="204"/>
      <c r="C90" s="204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7">
        <f t="shared" si="88"/>
        <v>0</v>
      </c>
      <c r="P90" s="207">
        <f t="shared" si="36"/>
        <v>0</v>
      </c>
      <c r="Q90" s="204"/>
      <c r="R90" s="204"/>
      <c r="S90" s="207"/>
      <c r="T90" s="207"/>
      <c r="U90" s="204"/>
      <c r="V90" s="204"/>
      <c r="W90" s="204"/>
      <c r="X90" s="204"/>
      <c r="Y90" s="204"/>
      <c r="Z90" s="204"/>
      <c r="AA90" s="204"/>
      <c r="AB90" s="135">
        <f t="shared" si="37"/>
        <v>0</v>
      </c>
      <c r="AC90" s="135">
        <f>(((((Q90)+(S90))+(T90))+(U90))+(V90))+(AB90)</f>
        <v>0</v>
      </c>
      <c r="AD90" s="204"/>
      <c r="AE90" s="162">
        <f t="shared" si="67"/>
        <v>0</v>
      </c>
    </row>
    <row r="91" spans="1:31" x14ac:dyDescent="0.2">
      <c r="A91" s="133" t="s">
        <v>337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7"/>
      <c r="N91" s="36"/>
      <c r="O91" s="207">
        <f t="shared" si="88"/>
        <v>0</v>
      </c>
      <c r="P91" s="207">
        <f t="shared" si="36"/>
        <v>0</v>
      </c>
      <c r="Q91" s="36"/>
      <c r="R91" s="36"/>
      <c r="S91" s="160"/>
      <c r="T91" s="36"/>
      <c r="U91" s="36"/>
      <c r="V91" s="36"/>
      <c r="W91" s="36"/>
      <c r="X91" s="36"/>
      <c r="Y91" s="36"/>
      <c r="Z91" s="36"/>
      <c r="AA91" s="36"/>
      <c r="AB91" s="135">
        <f t="shared" si="37"/>
        <v>0</v>
      </c>
      <c r="AC91" s="135">
        <f>(((((Q91)+(S91))+(T91))+(U91))+(V91))+(AB91)</f>
        <v>0</v>
      </c>
      <c r="AD91" s="134"/>
      <c r="AE91" s="162">
        <f t="shared" si="67"/>
        <v>0</v>
      </c>
    </row>
    <row r="92" spans="1:31" ht="15" x14ac:dyDescent="0.25">
      <c r="A92" s="133" t="s">
        <v>338</v>
      </c>
      <c r="B92" s="136">
        <f t="shared" ref="B92:M92" si="89">(B89)+(B91)+B90</f>
        <v>0</v>
      </c>
      <c r="C92" s="136">
        <f t="shared" ref="C92" si="90">(C89)+(C91)+C90</f>
        <v>0</v>
      </c>
      <c r="D92" s="136">
        <f t="shared" si="89"/>
        <v>0</v>
      </c>
      <c r="E92" s="136">
        <f t="shared" ref="E92:J92" si="91">(E89)+(E91)+E90</f>
        <v>0</v>
      </c>
      <c r="F92" s="136">
        <f t="shared" si="91"/>
        <v>0</v>
      </c>
      <c r="G92" s="136">
        <f t="shared" ref="G92" si="92">(G89)+(G91)+G90</f>
        <v>0</v>
      </c>
      <c r="H92" s="136">
        <f t="shared" si="91"/>
        <v>0</v>
      </c>
      <c r="I92" s="136">
        <f t="shared" si="91"/>
        <v>0</v>
      </c>
      <c r="J92" s="136">
        <f t="shared" si="91"/>
        <v>0</v>
      </c>
      <c r="K92" s="136">
        <f t="shared" si="89"/>
        <v>0</v>
      </c>
      <c r="L92" s="136">
        <f t="shared" si="89"/>
        <v>0</v>
      </c>
      <c r="M92" s="136">
        <f t="shared" si="89"/>
        <v>0</v>
      </c>
      <c r="N92" s="136">
        <f>(N89)+(N91)+N90</f>
        <v>0</v>
      </c>
      <c r="O92" s="245">
        <f>M92+N92+L92+K92</f>
        <v>0</v>
      </c>
      <c r="P92" s="224">
        <f>B92+D92+J92+O92+E92+F92+H92+I92+C92+G92</f>
        <v>0</v>
      </c>
      <c r="Q92" s="136">
        <f>(Q89)+(Q91)+Q90</f>
        <v>0</v>
      </c>
      <c r="R92" s="136">
        <f>(R89)+(R91)+R90</f>
        <v>0</v>
      </c>
      <c r="S92" s="136">
        <f>(S89)+(S91)+S90</f>
        <v>0</v>
      </c>
      <c r="T92" s="136">
        <f t="shared" ref="T92:AA92" si="93">(T89)+(T91)+T90</f>
        <v>0</v>
      </c>
      <c r="U92" s="136">
        <f t="shared" si="93"/>
        <v>0</v>
      </c>
      <c r="V92" s="136">
        <f t="shared" si="93"/>
        <v>0</v>
      </c>
      <c r="W92" s="136">
        <f t="shared" si="93"/>
        <v>0</v>
      </c>
      <c r="X92" s="136">
        <f t="shared" si="93"/>
        <v>0</v>
      </c>
      <c r="Y92" s="136">
        <f t="shared" si="93"/>
        <v>0</v>
      </c>
      <c r="Z92" s="136">
        <f t="shared" si="93"/>
        <v>0</v>
      </c>
      <c r="AA92" s="136">
        <f t="shared" si="93"/>
        <v>0</v>
      </c>
      <c r="AB92" s="136">
        <f t="shared" si="37"/>
        <v>0</v>
      </c>
      <c r="AC92" s="136">
        <f>(((((Q92)+(S92))+(T92))+(U92))+(V92))+(AB92)+R92</f>
        <v>0</v>
      </c>
      <c r="AD92" s="136">
        <f>(AD89)+(AD91)+AD90</f>
        <v>0</v>
      </c>
      <c r="AE92" s="173">
        <f t="shared" si="67"/>
        <v>0</v>
      </c>
    </row>
    <row r="93" spans="1:31" x14ac:dyDescent="0.2">
      <c r="A93" s="35" t="s">
        <v>460</v>
      </c>
      <c r="B93" s="232"/>
      <c r="C93" s="232"/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07">
        <f t="shared" ref="O93:O95" si="94">M93+N93+K93+L93</f>
        <v>0</v>
      </c>
      <c r="P93" s="207">
        <f t="shared" si="36"/>
        <v>0</v>
      </c>
      <c r="Q93" s="232"/>
      <c r="R93" s="233"/>
      <c r="S93" s="160"/>
      <c r="T93" s="232"/>
      <c r="U93" s="232"/>
      <c r="V93" s="232"/>
      <c r="W93" s="232"/>
      <c r="X93" s="232"/>
      <c r="Y93" s="232"/>
      <c r="Z93" s="232"/>
      <c r="AA93" s="232"/>
      <c r="AB93" s="135">
        <f t="shared" si="37"/>
        <v>0</v>
      </c>
      <c r="AC93" s="135">
        <f>(((((Q93)+(S93))+(T93))+(U93))+(V93))+(AB93)</f>
        <v>0</v>
      </c>
      <c r="AD93" s="232"/>
      <c r="AE93" s="162">
        <f t="shared" si="67"/>
        <v>0</v>
      </c>
    </row>
    <row r="94" spans="1:31" ht="12" customHeight="1" x14ac:dyDescent="0.2">
      <c r="A94" s="35" t="s">
        <v>280</v>
      </c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5"/>
      <c r="N94" s="134"/>
      <c r="O94" s="207">
        <f t="shared" si="94"/>
        <v>0</v>
      </c>
      <c r="P94" s="207">
        <f t="shared" si="36"/>
        <v>0</v>
      </c>
      <c r="Q94" s="36"/>
      <c r="R94" s="36"/>
      <c r="S94" s="160">
        <v>40</v>
      </c>
      <c r="T94" s="36"/>
      <c r="U94" s="36"/>
      <c r="V94" s="36"/>
      <c r="W94" s="37"/>
      <c r="X94" s="36"/>
      <c r="Y94" s="134"/>
      <c r="Z94" s="135"/>
      <c r="AA94" s="37"/>
      <c r="AB94" s="135">
        <f t="shared" si="37"/>
        <v>0</v>
      </c>
      <c r="AC94" s="135">
        <f>(((((Q94)+(S94))+(T94))+(U94))+(V94))+(AB94)</f>
        <v>40</v>
      </c>
      <c r="AD94" s="134"/>
      <c r="AE94" s="162">
        <f t="shared" si="67"/>
        <v>40</v>
      </c>
    </row>
    <row r="95" spans="1:31" ht="15" x14ac:dyDescent="0.25">
      <c r="A95" s="133" t="s">
        <v>270</v>
      </c>
      <c r="B95" s="36"/>
      <c r="C95" s="36"/>
      <c r="D95" s="36"/>
      <c r="E95" s="36"/>
      <c r="F95" s="36"/>
      <c r="G95" s="36"/>
      <c r="H95" s="36"/>
      <c r="I95" s="36"/>
      <c r="J95" s="37"/>
      <c r="K95" s="36"/>
      <c r="L95" s="36"/>
      <c r="M95" s="36"/>
      <c r="N95" s="36"/>
      <c r="O95" s="207">
        <f t="shared" si="94"/>
        <v>0</v>
      </c>
      <c r="P95" s="207">
        <f t="shared" si="36"/>
        <v>0</v>
      </c>
      <c r="Q95" s="36"/>
      <c r="R95" s="36"/>
      <c r="S95" s="160"/>
      <c r="T95" s="36"/>
      <c r="U95" s="36"/>
      <c r="V95" s="36"/>
      <c r="W95" s="37"/>
      <c r="X95" s="36"/>
      <c r="Y95" s="36"/>
      <c r="Z95" s="36"/>
      <c r="AA95" s="36"/>
      <c r="AB95" s="135">
        <f t="shared" si="37"/>
        <v>0</v>
      </c>
      <c r="AC95" s="135">
        <f>(((((Q95)+(S95))+(T95))+(U95))+(V95))+(AB95)</f>
        <v>0</v>
      </c>
      <c r="AD95" s="134"/>
      <c r="AE95" s="176">
        <f t="shared" si="67"/>
        <v>0</v>
      </c>
    </row>
    <row r="96" spans="1:31" x14ac:dyDescent="0.2">
      <c r="A96" s="133" t="s">
        <v>117</v>
      </c>
      <c r="B96" s="136">
        <f t="shared" ref="B96" si="95">((((((((((B77)+(B78))+(B80))+(B81))+(B82))+(B83))+(B84))+(B85))+(B92))+(B94))+(B95)+B87+B93+B79</f>
        <v>0</v>
      </c>
      <c r="C96" s="136">
        <f t="shared" ref="C96" si="96">((((((((((C77)+(C78))+(C80))+(C81))+(C82))+(C83))+(C84))+(C85))+(C92))+(C94))+(C95)+C87+C93+C79</f>
        <v>72</v>
      </c>
      <c r="D96" s="136">
        <f t="shared" ref="D96" si="97">((((((((((D77)+(D78))+(D80))+(D81))+(D82))+(D83))+(D84))+(D85))+(D92))+(D94))+(D95)+D87+D93+D79</f>
        <v>0</v>
      </c>
      <c r="E96" s="136">
        <f t="shared" ref="E96" si="98">((((((((((E77)+(E78))+(E80))+(E81))+(E82))+(E83))+(E84))+(E85))+(E92))+(E94))+(E95)+E87+E93+E79</f>
        <v>0</v>
      </c>
      <c r="F96" s="136">
        <f t="shared" ref="F96" si="99">((((((((((F77)+(F78))+(F80))+(F81))+(F82))+(F83))+(F84))+(F85))+(F92))+(F94))+(F95)+F87+F93+F79</f>
        <v>0</v>
      </c>
      <c r="G96" s="136">
        <f t="shared" ref="G96" si="100">((((((((((G77)+(G78))+(G80))+(G81))+(G82))+(G83))+(G84))+(G85))+(G92))+(G94))+(G95)+G87+G93+G79</f>
        <v>0</v>
      </c>
      <c r="H96" s="136">
        <f t="shared" ref="H96" si="101">((((((((((H77)+(H78))+(H80))+(H81))+(H82))+(H83))+(H84))+(H85))+(H92))+(H94))+(H95)+H87+H93+H79</f>
        <v>0</v>
      </c>
      <c r="I96" s="136">
        <f t="shared" ref="I96" si="102">((((((((((I77)+(I78))+(I80))+(I81))+(I82))+(I83))+(I84))+(I85))+(I92))+(I94))+(I95)+I87+I93+I79</f>
        <v>0</v>
      </c>
      <c r="J96" s="136">
        <f t="shared" ref="J96" si="103">((((((((((J77)+(J78))+(J80))+(J81))+(J82))+(J83))+(J84))+(J85))+(J92))+(J94))+(J95)+J87+J93+J79</f>
        <v>153.13999999999999</v>
      </c>
      <c r="K96" s="136">
        <f t="shared" ref="K96" si="104">((((((((((K77)+(K78))+(K80))+(K81))+(K82))+(K83))+(K84))+(K85))+(K92))+(K94))+(K95)+K87+K93+K79</f>
        <v>0</v>
      </c>
      <c r="L96" s="136">
        <f t="shared" ref="L96" si="105">((((((((((L77)+(L78))+(L80))+(L81))+(L82))+(L83))+(L84))+(L85))+(L92))+(L94))+(L95)+L87+L93+L79</f>
        <v>0</v>
      </c>
      <c r="M96" s="136">
        <f t="shared" ref="M96" si="106">((((((((((M77)+(M78))+(M80))+(M81))+(M82))+(M83))+(M84))+(M85))+(M92))+(M94))+(M95)+M87+M93+M79</f>
        <v>0</v>
      </c>
      <c r="N96" s="136">
        <f t="shared" ref="N96" si="107">((((((((((N77)+(N78))+(N80))+(N81))+(N82))+(N83))+(N84))+(N85))+(N92))+(N94))+(N95)+N87+N93+N79</f>
        <v>0</v>
      </c>
      <c r="O96" s="245">
        <f>M96+N96+L96+K96</f>
        <v>0</v>
      </c>
      <c r="P96" s="224">
        <f>B96+D96+J96+O96+E96+F96+H96+I96+C96+G96</f>
        <v>225.14</v>
      </c>
      <c r="Q96" s="136">
        <f t="shared" ref="Q96:R96" si="108">((((((((((Q77)+(Q78))+(Q80))+(Q81))+(Q82))+(Q83))+(Q84))+(Q85))+(Q92))+(Q94))+(Q95)+Q87+Q93+Q79</f>
        <v>0</v>
      </c>
      <c r="R96" s="136">
        <f t="shared" si="108"/>
        <v>0</v>
      </c>
      <c r="S96" s="136">
        <f>((((((((((S77)+(S78))+(S80))+(S81))+(S82))+(S83))+(S84))+(S85))+(S92))+(S94))+(S95)+S87+S93+S79+S86</f>
        <v>2505.5700000000002</v>
      </c>
      <c r="T96" s="136">
        <f t="shared" ref="T96:AA96" si="109">((((((((((T77)+(T78))+(T80))+(T81))+(T82))+(T83))+(T84))+(T85))+(T92))+(T94))+(T95)+T87+T93+T79</f>
        <v>0</v>
      </c>
      <c r="U96" s="136">
        <f t="shared" si="109"/>
        <v>0</v>
      </c>
      <c r="V96" s="136">
        <f t="shared" si="109"/>
        <v>0</v>
      </c>
      <c r="W96" s="136">
        <f t="shared" si="109"/>
        <v>0</v>
      </c>
      <c r="X96" s="136">
        <f t="shared" si="109"/>
        <v>208.8</v>
      </c>
      <c r="Y96" s="136">
        <f t="shared" si="109"/>
        <v>0</v>
      </c>
      <c r="Z96" s="136">
        <f t="shared" si="109"/>
        <v>0</v>
      </c>
      <c r="AA96" s="136">
        <f t="shared" si="109"/>
        <v>0</v>
      </c>
      <c r="AB96" s="136">
        <f>((((W96)+(X96))+(Y96))+(Z96))+(AA96)</f>
        <v>208.8</v>
      </c>
      <c r="AC96" s="136">
        <f>(((((Q96)+(S96))+(T96))+(U96))+(V96))+(AB96)+R96</f>
        <v>2714.3700000000003</v>
      </c>
      <c r="AD96" s="136">
        <f>((((((((((AD77)+(AD78))+(AD80))+(AD81))+(AD82))+(AD83))+(AD84))+(AD85))+(AD92))+(AD94))+(AD95)</f>
        <v>0</v>
      </c>
      <c r="AE96" s="163">
        <f>((P96)+(AC96))+(AD96)</f>
        <v>2939.51</v>
      </c>
    </row>
    <row r="97" spans="1:31" x14ac:dyDescent="0.2">
      <c r="A97" s="133" t="s">
        <v>118</v>
      </c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207">
        <f t="shared" ref="O97:O103" si="110">M97+N97+K97+L97</f>
        <v>0</v>
      </c>
      <c r="P97" s="207">
        <f t="shared" si="36"/>
        <v>0</v>
      </c>
      <c r="Q97" s="159"/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35">
        <f t="shared" si="37"/>
        <v>0</v>
      </c>
      <c r="AC97" s="135">
        <f>(((((Q97)+(S97))+(T97))+(U97))+(V97))+(AB97)</f>
        <v>0</v>
      </c>
      <c r="AD97" s="134"/>
      <c r="AE97" s="162">
        <f t="shared" si="67"/>
        <v>0</v>
      </c>
    </row>
    <row r="98" spans="1:31" ht="12" customHeight="1" x14ac:dyDescent="0.2">
      <c r="A98" s="133" t="s">
        <v>119</v>
      </c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5"/>
      <c r="N98" s="134"/>
      <c r="O98" s="207">
        <f t="shared" si="110"/>
        <v>0</v>
      </c>
      <c r="P98" s="207">
        <f t="shared" si="36"/>
        <v>0</v>
      </c>
      <c r="Q98" s="159"/>
      <c r="R98" s="159"/>
      <c r="S98" s="159"/>
      <c r="T98" s="159"/>
      <c r="U98" s="159"/>
      <c r="V98" s="159"/>
      <c r="W98" s="37">
        <v>405.38</v>
      </c>
      <c r="Y98" s="159"/>
      <c r="Z98" s="37"/>
      <c r="AA98" s="159"/>
      <c r="AB98" s="135">
        <f>((((W98)+(X99))+(Y98))+(Z98))+(AA98)</f>
        <v>405.38</v>
      </c>
      <c r="AC98" s="135">
        <f>(((((Q98)+(S98))+(T98))+(U98))+(V98))+(AB98)</f>
        <v>405.38</v>
      </c>
      <c r="AD98" s="134"/>
      <c r="AE98" s="162">
        <f t="shared" si="67"/>
        <v>405.38</v>
      </c>
    </row>
    <row r="99" spans="1:31" ht="12" customHeight="1" x14ac:dyDescent="0.2">
      <c r="A99" s="35" t="s">
        <v>354</v>
      </c>
      <c r="B99" s="134"/>
      <c r="C99" s="134"/>
      <c r="D99" s="134"/>
      <c r="E99" s="134"/>
      <c r="F99" s="134"/>
      <c r="G99" s="134"/>
      <c r="H99" s="134"/>
      <c r="I99" s="134"/>
      <c r="J99" s="134"/>
      <c r="K99" s="134">
        <v>550</v>
      </c>
      <c r="L99" s="134"/>
      <c r="M99" s="135">
        <v>500</v>
      </c>
      <c r="N99" s="134"/>
      <c r="O99" s="207">
        <f t="shared" si="110"/>
        <v>1050</v>
      </c>
      <c r="P99" s="207">
        <f t="shared" ref="P99:P103" si="111">B99+J99+O99+E99+F99+H99+I99+C99+G99</f>
        <v>1050</v>
      </c>
      <c r="Q99" s="159"/>
      <c r="R99" s="159"/>
      <c r="S99" s="159"/>
      <c r="T99" s="159"/>
      <c r="U99" s="159"/>
      <c r="V99" s="159"/>
      <c r="W99" s="37"/>
      <c r="X99" s="159"/>
      <c r="Y99" s="159"/>
      <c r="Z99" s="37">
        <v>385</v>
      </c>
      <c r="AA99" s="159"/>
      <c r="AB99" s="135">
        <f>((((W99)+(X100))+(Y99))+(Z99))+(AA99)</f>
        <v>385</v>
      </c>
      <c r="AC99" s="135">
        <f>(((((Q99)+(S99))+(T99))+(U99))+(V99))+(AB99)</f>
        <v>385</v>
      </c>
      <c r="AD99" s="134"/>
      <c r="AE99" s="162">
        <f t="shared" si="67"/>
        <v>1435</v>
      </c>
    </row>
    <row r="100" spans="1:31" x14ac:dyDescent="0.2">
      <c r="A100" s="133" t="s">
        <v>120</v>
      </c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5"/>
      <c r="N100" s="134"/>
      <c r="O100" s="207">
        <f t="shared" si="110"/>
        <v>0</v>
      </c>
      <c r="P100" s="207">
        <f t="shared" si="111"/>
        <v>0</v>
      </c>
      <c r="Q100" s="159"/>
      <c r="R100" s="159"/>
      <c r="S100" s="160"/>
      <c r="T100" s="160"/>
      <c r="U100" s="159"/>
      <c r="V100" s="159"/>
      <c r="W100" s="37"/>
      <c r="X100" s="159"/>
      <c r="Y100" s="159"/>
      <c r="Z100" s="37"/>
      <c r="AA100" s="159"/>
      <c r="AB100" s="135">
        <f t="shared" si="37"/>
        <v>0</v>
      </c>
      <c r="AC100" s="135">
        <f>(((((Q100)+(S100))+(T100))+(U100))+(V100))+(AB100)</f>
        <v>0</v>
      </c>
      <c r="AD100" s="134"/>
      <c r="AE100" s="162">
        <f t="shared" si="67"/>
        <v>0</v>
      </c>
    </row>
    <row r="101" spans="1:31" x14ac:dyDescent="0.2">
      <c r="A101" s="133" t="s">
        <v>121</v>
      </c>
      <c r="B101" s="134"/>
      <c r="C101" s="134"/>
      <c r="D101" s="134"/>
      <c r="E101" s="134"/>
      <c r="F101" s="134"/>
      <c r="G101" s="134"/>
      <c r="H101" s="134">
        <v>39.340000000000003</v>
      </c>
      <c r="I101" s="134"/>
      <c r="J101" s="134">
        <v>161.86000000000001</v>
      </c>
      <c r="K101" s="134"/>
      <c r="L101" s="134"/>
      <c r="M101" s="134"/>
      <c r="N101" s="134"/>
      <c r="O101" s="207">
        <f t="shared" si="110"/>
        <v>0</v>
      </c>
      <c r="P101" s="207">
        <f t="shared" si="111"/>
        <v>201.20000000000002</v>
      </c>
      <c r="Q101" s="159"/>
      <c r="R101" s="159"/>
      <c r="S101" s="159"/>
      <c r="T101" s="159"/>
      <c r="U101" s="159"/>
      <c r="V101" s="159"/>
      <c r="W101" s="37">
        <v>425.07</v>
      </c>
      <c r="X101" s="159"/>
      <c r="Y101" s="159"/>
      <c r="Z101" s="160"/>
      <c r="AA101" s="159"/>
      <c r="AB101" s="135">
        <f t="shared" si="37"/>
        <v>425.07</v>
      </c>
      <c r="AC101" s="135">
        <f>(((((Q101)+(S101))+(T101))+(U101))+(V101))+(AB101)</f>
        <v>425.07</v>
      </c>
      <c r="AD101" s="134"/>
      <c r="AE101" s="162">
        <f>((P101)+(AC101))+(AD101)</f>
        <v>626.27</v>
      </c>
    </row>
    <row r="102" spans="1:31" x14ac:dyDescent="0.2">
      <c r="A102" s="167" t="s">
        <v>475</v>
      </c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207">
        <f>M102+N102+K102+L102</f>
        <v>0</v>
      </c>
      <c r="P102" s="207">
        <f t="shared" si="111"/>
        <v>0</v>
      </c>
      <c r="Q102" s="161"/>
      <c r="R102" s="161"/>
      <c r="S102" s="161"/>
      <c r="T102" s="161"/>
      <c r="U102" s="161"/>
      <c r="V102" s="161"/>
      <c r="W102" s="162"/>
      <c r="X102" s="161"/>
      <c r="Y102" s="161"/>
      <c r="Z102" s="162"/>
      <c r="AA102" s="161"/>
      <c r="AB102" s="135">
        <f t="shared" si="37"/>
        <v>0</v>
      </c>
      <c r="AC102" s="135">
        <f t="shared" ref="AC102:AC106" si="112">(((((Q102)+(S102))+(T102))+(U102))+(V102))+(AB102)</f>
        <v>0</v>
      </c>
      <c r="AD102" s="161"/>
      <c r="AE102" s="162">
        <f t="shared" ref="AE102:AE106" si="113">((P102)+(AC102))+(AD102)</f>
        <v>0</v>
      </c>
    </row>
    <row r="103" spans="1:31" x14ac:dyDescent="0.2">
      <c r="A103" s="167" t="s">
        <v>476</v>
      </c>
      <c r="B103" s="161"/>
      <c r="C103" s="161"/>
      <c r="D103" s="161"/>
      <c r="E103" s="161"/>
      <c r="F103" s="161"/>
      <c r="G103" s="161"/>
      <c r="H103" s="161"/>
      <c r="I103" s="161"/>
      <c r="J103" s="161"/>
      <c r="K103" s="161">
        <v>14.15</v>
      </c>
      <c r="L103" s="161"/>
      <c r="M103" s="161"/>
      <c r="N103" s="161"/>
      <c r="O103" s="207">
        <f t="shared" si="110"/>
        <v>14.15</v>
      </c>
      <c r="P103" s="207">
        <f t="shared" si="111"/>
        <v>14.15</v>
      </c>
      <c r="Q103" s="161"/>
      <c r="R103" s="161"/>
      <c r="S103" s="161"/>
      <c r="T103" s="161"/>
      <c r="U103" s="161"/>
      <c r="V103" s="161"/>
      <c r="W103" s="162"/>
      <c r="X103" s="161"/>
      <c r="Y103" s="161"/>
      <c r="Z103" s="162"/>
      <c r="AA103" s="161"/>
      <c r="AB103" s="135">
        <f t="shared" si="37"/>
        <v>0</v>
      </c>
      <c r="AC103" s="135">
        <f t="shared" si="112"/>
        <v>0</v>
      </c>
      <c r="AD103" s="161"/>
      <c r="AE103" s="162">
        <f t="shared" si="113"/>
        <v>14.15</v>
      </c>
    </row>
    <row r="104" spans="1:31" x14ac:dyDescent="0.2">
      <c r="A104" s="133" t="s">
        <v>122</v>
      </c>
      <c r="B104" s="136">
        <f>(((B97)+(B98))+(B100))+(B101)+B99+B102+B103</f>
        <v>0</v>
      </c>
      <c r="C104" s="136">
        <f>(((C97)+(C98))+(C100))+(C101)+C99+C102+C103</f>
        <v>0</v>
      </c>
      <c r="D104" s="136">
        <f t="shared" ref="D104:N104" si="114">(((D97)+(D98))+(D100))+(D101)+D99+D102+D103</f>
        <v>0</v>
      </c>
      <c r="E104" s="136">
        <f t="shared" si="114"/>
        <v>0</v>
      </c>
      <c r="F104" s="136">
        <f t="shared" si="114"/>
        <v>0</v>
      </c>
      <c r="G104" s="136">
        <f t="shared" ref="G104" si="115">(((G97)+(G98))+(G100))+(G101)+G99+G102+G103</f>
        <v>0</v>
      </c>
      <c r="H104" s="136">
        <f t="shared" si="114"/>
        <v>39.340000000000003</v>
      </c>
      <c r="I104" s="136">
        <f t="shared" si="114"/>
        <v>0</v>
      </c>
      <c r="J104" s="136">
        <f t="shared" si="114"/>
        <v>161.86000000000001</v>
      </c>
      <c r="K104" s="136">
        <f t="shared" si="114"/>
        <v>564.15</v>
      </c>
      <c r="L104" s="136">
        <f t="shared" si="114"/>
        <v>0</v>
      </c>
      <c r="M104" s="136">
        <f t="shared" si="114"/>
        <v>500</v>
      </c>
      <c r="N104" s="136">
        <f t="shared" si="114"/>
        <v>0</v>
      </c>
      <c r="O104" s="245">
        <f>M104+N104+L104+K104</f>
        <v>1064.1500000000001</v>
      </c>
      <c r="P104" s="224">
        <f>B104+D104+J104+O104+E104+F104+H104+I104+C104+G104</f>
        <v>1265.3500000000001</v>
      </c>
      <c r="Q104" s="136">
        <f>(((Q97)+(Q98))+(Q100))+(Q101)+Q99+Q102+Q103</f>
        <v>0</v>
      </c>
      <c r="R104" s="136">
        <f t="shared" ref="R104:AD104" si="116">(((R97)+(R98))+(R100))+(R101)+R99+R102+R103</f>
        <v>0</v>
      </c>
      <c r="S104" s="136">
        <f t="shared" si="116"/>
        <v>0</v>
      </c>
      <c r="T104" s="136">
        <f t="shared" si="116"/>
        <v>0</v>
      </c>
      <c r="U104" s="136">
        <f t="shared" si="116"/>
        <v>0</v>
      </c>
      <c r="V104" s="136">
        <f t="shared" si="116"/>
        <v>0</v>
      </c>
      <c r="W104" s="136">
        <f t="shared" si="116"/>
        <v>830.45</v>
      </c>
      <c r="X104" s="136">
        <f t="shared" si="116"/>
        <v>0</v>
      </c>
      <c r="Y104" s="136">
        <f t="shared" si="116"/>
        <v>0</v>
      </c>
      <c r="Z104" s="136">
        <f t="shared" si="116"/>
        <v>385</v>
      </c>
      <c r="AA104" s="136">
        <f t="shared" si="116"/>
        <v>0</v>
      </c>
      <c r="AB104" s="136">
        <f>(((AB97)+(AB98))+(AB100))+(AB101)+AB99+AB102+AB103</f>
        <v>1215.45</v>
      </c>
      <c r="AC104" s="136">
        <f>(((AC97)+(AC98))+(AC100))+(AC101)+AC99+AC102+AC103</f>
        <v>1215.45</v>
      </c>
      <c r="AD104" s="136">
        <f t="shared" si="116"/>
        <v>0</v>
      </c>
      <c r="AE104" s="136">
        <f>(((AE97)+(AE98))+(AE100))+(AE101)+AE99+AE102+AE103</f>
        <v>2480.8000000000002</v>
      </c>
    </row>
    <row r="105" spans="1:31" x14ac:dyDescent="0.2">
      <c r="A105" s="35" t="s">
        <v>466</v>
      </c>
      <c r="B105" s="232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07">
        <f t="shared" ref="O105:O106" si="117">M105+N105+K105+L105</f>
        <v>0</v>
      </c>
      <c r="P105" s="207">
        <f t="shared" ref="P105:P106" si="118">B105+J105+O105+E105+F105+H105+I105+C105+G105</f>
        <v>0</v>
      </c>
      <c r="Q105" s="232"/>
      <c r="R105" s="232"/>
      <c r="S105" s="232"/>
      <c r="T105" s="232"/>
      <c r="U105" s="232"/>
      <c r="V105" s="232"/>
      <c r="W105" s="232"/>
      <c r="X105" s="232"/>
      <c r="Y105" s="232"/>
      <c r="Z105" s="232"/>
      <c r="AA105" s="232"/>
      <c r="AB105" s="135">
        <f t="shared" si="37"/>
        <v>0</v>
      </c>
      <c r="AC105" s="135">
        <f t="shared" si="112"/>
        <v>0</v>
      </c>
      <c r="AD105" s="232"/>
      <c r="AE105" s="162">
        <f t="shared" si="113"/>
        <v>0</v>
      </c>
    </row>
    <row r="106" spans="1:31" x14ac:dyDescent="0.2">
      <c r="A106" s="35" t="s">
        <v>467</v>
      </c>
      <c r="B106" s="232"/>
      <c r="C106" s="232">
        <v>400</v>
      </c>
      <c r="D106" s="232"/>
      <c r="E106" s="232">
        <v>310.91000000000003</v>
      </c>
      <c r="F106" s="232"/>
      <c r="G106" s="232"/>
      <c r="H106" s="232">
        <v>100</v>
      </c>
      <c r="I106" s="232"/>
      <c r="J106" s="232"/>
      <c r="K106" s="232"/>
      <c r="L106" s="232"/>
      <c r="M106" s="232">
        <v>-10</v>
      </c>
      <c r="N106" s="232"/>
      <c r="O106" s="207">
        <f t="shared" si="117"/>
        <v>-10</v>
      </c>
      <c r="P106" s="207">
        <f t="shared" si="118"/>
        <v>800.91000000000008</v>
      </c>
      <c r="Q106" s="232"/>
      <c r="R106" s="232"/>
      <c r="S106" s="232"/>
      <c r="T106" s="232"/>
      <c r="U106" s="232"/>
      <c r="V106" s="232"/>
      <c r="W106" s="232">
        <v>30</v>
      </c>
      <c r="X106" s="232"/>
      <c r="Y106" s="232"/>
      <c r="Z106" s="232"/>
      <c r="AA106" s="232"/>
      <c r="AB106" s="135">
        <f t="shared" si="37"/>
        <v>30</v>
      </c>
      <c r="AC106" s="135">
        <f t="shared" si="112"/>
        <v>30</v>
      </c>
      <c r="AD106" s="232"/>
      <c r="AE106" s="162">
        <f t="shared" si="113"/>
        <v>830.91000000000008</v>
      </c>
    </row>
    <row r="107" spans="1:31" ht="15" x14ac:dyDescent="0.25">
      <c r="A107" s="35" t="s">
        <v>468</v>
      </c>
      <c r="B107" s="136">
        <f>(B106)+B105</f>
        <v>0</v>
      </c>
      <c r="C107" s="136">
        <f>(C106)+C105</f>
        <v>400</v>
      </c>
      <c r="D107" s="136">
        <f t="shared" ref="D107:N107" si="119">(D106)+D105</f>
        <v>0</v>
      </c>
      <c r="E107" s="136">
        <f t="shared" si="119"/>
        <v>310.91000000000003</v>
      </c>
      <c r="F107" s="136">
        <f t="shared" si="119"/>
        <v>0</v>
      </c>
      <c r="G107" s="136">
        <f t="shared" ref="G107" si="120">(G106)+G105</f>
        <v>0</v>
      </c>
      <c r="H107" s="136">
        <f t="shared" si="119"/>
        <v>100</v>
      </c>
      <c r="I107" s="136">
        <f t="shared" si="119"/>
        <v>0</v>
      </c>
      <c r="J107" s="136">
        <f t="shared" si="119"/>
        <v>0</v>
      </c>
      <c r="K107" s="136">
        <f t="shared" si="119"/>
        <v>0</v>
      </c>
      <c r="L107" s="136">
        <f t="shared" si="119"/>
        <v>0</v>
      </c>
      <c r="M107" s="136">
        <f>(M106)+M105</f>
        <v>-10</v>
      </c>
      <c r="N107" s="136">
        <f t="shared" si="119"/>
        <v>0</v>
      </c>
      <c r="O107" s="245">
        <f>M107+N107+L107+K107</f>
        <v>-10</v>
      </c>
      <c r="P107" s="224">
        <f>B107+D107+J107+O107+E107+F107+H107+I107+C107+G107</f>
        <v>800.91000000000008</v>
      </c>
      <c r="Q107" s="136">
        <f>(Q106)+Q105</f>
        <v>0</v>
      </c>
      <c r="R107" s="136">
        <f t="shared" ref="R107" si="121">(R106)+R105</f>
        <v>0</v>
      </c>
      <c r="S107" s="136">
        <f t="shared" ref="S107" si="122">(S106)+S105</f>
        <v>0</v>
      </c>
      <c r="T107" s="136">
        <f t="shared" ref="T107" si="123">(T106)+T105</f>
        <v>0</v>
      </c>
      <c r="U107" s="136">
        <f t="shared" ref="U107" si="124">(U106)+U105</f>
        <v>0</v>
      </c>
      <c r="V107" s="136">
        <f t="shared" ref="V107" si="125">(V106)+V105</f>
        <v>0</v>
      </c>
      <c r="W107" s="136">
        <f t="shared" ref="W107" si="126">(W106)+W105</f>
        <v>30</v>
      </c>
      <c r="X107" s="136">
        <f t="shared" ref="X107" si="127">(X106)+X105</f>
        <v>0</v>
      </c>
      <c r="Y107" s="136">
        <f t="shared" ref="Y107" si="128">(Y106)+Y105</f>
        <v>0</v>
      </c>
      <c r="Z107" s="136">
        <f t="shared" ref="Z107" si="129">(Z106)+Z105</f>
        <v>0</v>
      </c>
      <c r="AA107" s="136">
        <f t="shared" ref="AA107" si="130">(AA106)+AA105</f>
        <v>0</v>
      </c>
      <c r="AB107" s="136">
        <f>((((W107)+(X107))+(Y107))+(Z107))+(AA107)</f>
        <v>30</v>
      </c>
      <c r="AC107" s="136">
        <f>(((((Q107)+(S107))+(T107))+(U107))+(V107))+(AB107)+R107</f>
        <v>30</v>
      </c>
      <c r="AD107" s="136">
        <f>(AD104)+(AD106)+AD105</f>
        <v>0</v>
      </c>
      <c r="AE107" s="173">
        <f t="shared" ref="AE107:AE112" si="131">((P107)+(AC107))+(AD107)</f>
        <v>830.91000000000008</v>
      </c>
    </row>
    <row r="108" spans="1:31" ht="15" customHeight="1" x14ac:dyDescent="0.2">
      <c r="A108" s="133" t="s">
        <v>123</v>
      </c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207">
        <f t="shared" ref="O108:O109" si="132">M108+N108+K108+L108</f>
        <v>0</v>
      </c>
      <c r="P108" s="207">
        <f t="shared" ref="P108:P109" si="133">B108+J108+O108+E108+F108+H108+I108+C108+G108</f>
        <v>0</v>
      </c>
      <c r="Q108" s="134"/>
      <c r="R108" s="134"/>
      <c r="S108" s="134">
        <v>-750</v>
      </c>
      <c r="T108" s="134"/>
      <c r="U108" s="134"/>
      <c r="V108" s="134"/>
      <c r="W108" s="134"/>
      <c r="X108" s="134"/>
      <c r="Y108" s="134"/>
      <c r="Z108" s="134"/>
      <c r="AA108" s="134"/>
      <c r="AB108" s="135">
        <f t="shared" si="37"/>
        <v>0</v>
      </c>
      <c r="AC108" s="135">
        <f>(((((Q108)+(S108))+(T108))+(U108))+(V108))+(AB108)</f>
        <v>-750</v>
      </c>
      <c r="AD108" s="134"/>
      <c r="AE108" s="162">
        <f t="shared" si="131"/>
        <v>-750</v>
      </c>
    </row>
    <row r="109" spans="1:31" x14ac:dyDescent="0.2">
      <c r="A109" s="133" t="s">
        <v>271</v>
      </c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207">
        <f t="shared" si="132"/>
        <v>0</v>
      </c>
      <c r="P109" s="207">
        <f t="shared" si="133"/>
        <v>0</v>
      </c>
      <c r="Q109" s="134"/>
      <c r="R109" s="134"/>
      <c r="S109" s="37"/>
      <c r="T109" s="134"/>
      <c r="U109" s="134"/>
      <c r="V109" s="134"/>
      <c r="W109" s="134"/>
      <c r="X109" s="134"/>
      <c r="Y109" s="134"/>
      <c r="Z109" s="134"/>
      <c r="AA109" s="134"/>
      <c r="AB109" s="135">
        <f t="shared" si="37"/>
        <v>0</v>
      </c>
      <c r="AC109" s="135">
        <f>(((((Q109)+(S109))+(T109))+(U109))+(V109))+(AB109)</f>
        <v>0</v>
      </c>
      <c r="AD109" s="134"/>
      <c r="AE109" s="162">
        <f t="shared" si="131"/>
        <v>0</v>
      </c>
    </row>
    <row r="110" spans="1:31" x14ac:dyDescent="0.2">
      <c r="A110" s="133" t="s">
        <v>204</v>
      </c>
      <c r="B110" s="136">
        <f t="shared" ref="B110:N110" si="134">(B108)+(B109)</f>
        <v>0</v>
      </c>
      <c r="C110" s="136">
        <f t="shared" ref="C110" si="135">(C108)+(C109)</f>
        <v>0</v>
      </c>
      <c r="D110" s="136">
        <f t="shared" si="134"/>
        <v>0</v>
      </c>
      <c r="E110" s="136">
        <f t="shared" ref="E110:J110" si="136">(E108)+(E109)</f>
        <v>0</v>
      </c>
      <c r="F110" s="136">
        <f t="shared" si="136"/>
        <v>0</v>
      </c>
      <c r="G110" s="136">
        <f t="shared" ref="G110" si="137">(G108)+(G109)</f>
        <v>0</v>
      </c>
      <c r="H110" s="136">
        <f t="shared" si="136"/>
        <v>0</v>
      </c>
      <c r="I110" s="136">
        <f t="shared" si="136"/>
        <v>0</v>
      </c>
      <c r="J110" s="136">
        <f t="shared" si="136"/>
        <v>0</v>
      </c>
      <c r="K110" s="136">
        <f t="shared" si="134"/>
        <v>0</v>
      </c>
      <c r="L110" s="136">
        <f t="shared" ref="L110" si="138">(L108)+(L109)</f>
        <v>0</v>
      </c>
      <c r="M110" s="136">
        <f t="shared" si="134"/>
        <v>0</v>
      </c>
      <c r="N110" s="136">
        <f t="shared" si="134"/>
        <v>0</v>
      </c>
      <c r="O110" s="245">
        <f>M110+N110+L110+K110</f>
        <v>0</v>
      </c>
      <c r="P110" s="224">
        <f>B110+D110+J110+O110+E110+F110+H110+I110+C110+G110</f>
        <v>0</v>
      </c>
      <c r="Q110" s="136">
        <f t="shared" ref="Q110:AA110" si="139">(Q108)+(Q109)</f>
        <v>0</v>
      </c>
      <c r="R110" s="136">
        <f t="shared" ref="R110" si="140">(R108)+(R109)</f>
        <v>0</v>
      </c>
      <c r="S110" s="136">
        <f t="shared" si="139"/>
        <v>-750</v>
      </c>
      <c r="T110" s="136">
        <f t="shared" si="139"/>
        <v>0</v>
      </c>
      <c r="U110" s="136">
        <f t="shared" si="139"/>
        <v>0</v>
      </c>
      <c r="V110" s="136">
        <f t="shared" si="139"/>
        <v>0</v>
      </c>
      <c r="W110" s="136">
        <f t="shared" si="139"/>
        <v>0</v>
      </c>
      <c r="X110" s="136">
        <f t="shared" si="139"/>
        <v>0</v>
      </c>
      <c r="Y110" s="136">
        <f t="shared" si="139"/>
        <v>0</v>
      </c>
      <c r="Z110" s="136">
        <f t="shared" si="139"/>
        <v>0</v>
      </c>
      <c r="AA110" s="136">
        <f t="shared" si="139"/>
        <v>0</v>
      </c>
      <c r="AB110" s="136">
        <f t="shared" si="37"/>
        <v>0</v>
      </c>
      <c r="AC110" s="136">
        <f>(((((Q110)+(S110))+(T110))+(U110))+(V110))+(AB110)+R110</f>
        <v>-750</v>
      </c>
      <c r="AD110" s="136">
        <f>(AD108)+(AD109)</f>
        <v>0</v>
      </c>
      <c r="AE110" s="163">
        <f t="shared" si="131"/>
        <v>-750</v>
      </c>
    </row>
    <row r="111" spans="1:31" x14ac:dyDescent="0.2">
      <c r="A111" s="133" t="s">
        <v>124</v>
      </c>
      <c r="B111" s="136">
        <f t="shared" ref="B111:D111" si="141">((((((B43)+(B50))+(B70))+(B76))+(B96))+(B104))+(B110)+B107</f>
        <v>0</v>
      </c>
      <c r="C111" s="136">
        <f t="shared" ref="C111" si="142">((((((C43)+(C50))+(C70))+(C76))+(C96))+(C104))+(C110)+C107</f>
        <v>472</v>
      </c>
      <c r="D111" s="136">
        <f t="shared" si="141"/>
        <v>0</v>
      </c>
      <c r="E111" s="136">
        <f>((((((E43)+(E50))+(E70))+(E76))+(E96))+(E104))+(E110)+E107</f>
        <v>675.53</v>
      </c>
      <c r="F111" s="136">
        <f t="shared" ref="F111:L111" si="143">((((((F43)+(F50))+(F70))+(F76))+(F96))+(F104))+(F110)+F107</f>
        <v>0</v>
      </c>
      <c r="G111" s="136">
        <f t="shared" ref="G111" si="144">((((((G43)+(G50))+(G70))+(G76))+(G96))+(G104))+(G110)+G107</f>
        <v>0</v>
      </c>
      <c r="H111" s="136">
        <f t="shared" si="143"/>
        <v>139.34</v>
      </c>
      <c r="I111" s="136">
        <f t="shared" si="143"/>
        <v>0</v>
      </c>
      <c r="J111" s="136">
        <f t="shared" si="143"/>
        <v>1674.1800000000003</v>
      </c>
      <c r="K111" s="136">
        <f>((((((K43)+(K50))+(K70))+(K76))+(K96))+(K104))+(K110)+K107</f>
        <v>1229.6500000000001</v>
      </c>
      <c r="L111" s="136">
        <f t="shared" si="143"/>
        <v>330.72</v>
      </c>
      <c r="M111" s="136">
        <f>((((((M43)+(M50))+(M70))+(M76))+(M96))+(M104))+(M110)+M107</f>
        <v>2356.38</v>
      </c>
      <c r="N111" s="136">
        <f t="shared" ref="N111" si="145">((((((N43)+(N50))+(N70))+(N76))+(N96))+(N104))+(N110)+N107</f>
        <v>0</v>
      </c>
      <c r="O111" s="245">
        <f>M111+N111+L111+K111</f>
        <v>3916.7500000000005</v>
      </c>
      <c r="P111" s="224">
        <f>B111+D111+J111+O111+E111+F111+H111+I111+C111+G111</f>
        <v>6877.8</v>
      </c>
      <c r="Q111" s="136">
        <f t="shared" ref="Q111" si="146">((((((Q43)+(Q50))+(Q70))+(Q76))+(Q96))+(Q104))+(Q110)+Q107</f>
        <v>0</v>
      </c>
      <c r="R111" s="136">
        <f t="shared" ref="R111" si="147">((((((R43)+(R50))+(R70))+(R76))+(R96))+(R104))+(R110)+R107</f>
        <v>0</v>
      </c>
      <c r="S111" s="136">
        <f t="shared" ref="S111" si="148">((((((S43)+(S50))+(S70))+(S76))+(S96))+(S104))+(S110)+S107</f>
        <v>34573.47</v>
      </c>
      <c r="T111" s="136">
        <f t="shared" ref="T111" si="149">((((((T43)+(T50))+(T70))+(T76))+(T96))+(T104))+(T110)+T107</f>
        <v>0</v>
      </c>
      <c r="U111" s="136">
        <f t="shared" ref="U111" si="150">((((((U43)+(U50))+(U70))+(U76))+(U96))+(U104))+(U110)+U107</f>
        <v>0</v>
      </c>
      <c r="V111" s="136">
        <f t="shared" ref="V111" si="151">((((((V43)+(V50))+(V70))+(V76))+(V96))+(V104))+(V110)+V107</f>
        <v>0</v>
      </c>
      <c r="W111" s="136">
        <f t="shared" ref="W111" si="152">((((((W43)+(W50))+(W70))+(W76))+(W96))+(W104))+(W110)+W107</f>
        <v>4168.95</v>
      </c>
      <c r="X111" s="136">
        <f t="shared" ref="X111" si="153">((((((X43)+(X50))+(X70))+(X76))+(X96))+(X104))+(X110)+X107</f>
        <v>208.8</v>
      </c>
      <c r="Y111" s="136">
        <f t="shared" ref="Y111" si="154">((((((Y43)+(Y50))+(Y70))+(Y76))+(Y96))+(Y104))+(Y110)+Y107</f>
        <v>3789.37</v>
      </c>
      <c r="Z111" s="136">
        <f t="shared" ref="Z111" si="155">((((((Z43)+(Z50))+(Z70))+(Z76))+(Z96))+(Z104))+(Z110)+Z107</f>
        <v>385</v>
      </c>
      <c r="AA111" s="136">
        <f t="shared" ref="AA111" si="156">((((((AA43)+(AA50))+(AA70))+(AA76))+(AA96))+(AA104))+(AA110)+AA107</f>
        <v>0</v>
      </c>
      <c r="AB111" s="136">
        <f t="shared" si="37"/>
        <v>8552.119999999999</v>
      </c>
      <c r="AC111" s="136">
        <f>(((((Q111)+(S111))+(T111))+(U111))+(V111))+(AB111)+R111</f>
        <v>43125.59</v>
      </c>
      <c r="AD111" s="136">
        <f>((((((AD43)+(AD50))+(AD70))+(AD76))+(AD96))+(AD104))+(AD110)</f>
        <v>0</v>
      </c>
      <c r="AE111" s="163">
        <f t="shared" si="131"/>
        <v>50003.39</v>
      </c>
    </row>
    <row r="112" spans="1:31" ht="15" x14ac:dyDescent="0.25">
      <c r="A112" s="133" t="s">
        <v>125</v>
      </c>
      <c r="B112" s="136">
        <f>(B33)-(B111)</f>
        <v>0</v>
      </c>
      <c r="C112" s="136">
        <f>(C33)-(C111)</f>
        <v>1029.46</v>
      </c>
      <c r="D112" s="136">
        <f t="shared" ref="D112:N112" si="157">(D33)-(D111)</f>
        <v>0</v>
      </c>
      <c r="E112" s="136">
        <f t="shared" ref="E112:J112" si="158">(E33)-(E111)</f>
        <v>-675.53</v>
      </c>
      <c r="F112" s="136">
        <f t="shared" si="158"/>
        <v>0</v>
      </c>
      <c r="G112" s="136">
        <f t="shared" ref="G112" si="159">(G33)-(G111)</f>
        <v>0</v>
      </c>
      <c r="H112" s="136">
        <f t="shared" si="158"/>
        <v>1798.75</v>
      </c>
      <c r="I112" s="136">
        <f t="shared" si="158"/>
        <v>0</v>
      </c>
      <c r="J112" s="136">
        <f t="shared" si="158"/>
        <v>2394.7699999999995</v>
      </c>
      <c r="K112" s="136">
        <f>(K33)-(K111)</f>
        <v>-1206.6500000000001</v>
      </c>
      <c r="L112" s="136">
        <f>(L33)-(L111)</f>
        <v>-170.62000000000003</v>
      </c>
      <c r="M112" s="136">
        <f>(M33)-(M111)</f>
        <v>-52.150000000000091</v>
      </c>
      <c r="N112" s="136">
        <f t="shared" si="157"/>
        <v>0</v>
      </c>
      <c r="O112" s="245">
        <f>M112+N112+L112+K112</f>
        <v>-1429.4200000000003</v>
      </c>
      <c r="P112" s="224">
        <f>B112+D112+J112+O112+E112+F112+H112+I112+C112+G112</f>
        <v>3118.0299999999993</v>
      </c>
      <c r="Q112" s="136">
        <f t="shared" ref="Q112:AA112" si="160">(Q33)-(Q111)</f>
        <v>0</v>
      </c>
      <c r="R112" s="136">
        <f>(R33)-(R111)</f>
        <v>176.15</v>
      </c>
      <c r="S112" s="136">
        <f>(S33)-(S111)</f>
        <v>-6825.8999999999978</v>
      </c>
      <c r="T112" s="136">
        <f t="shared" si="160"/>
        <v>0</v>
      </c>
      <c r="U112" s="136">
        <f t="shared" si="160"/>
        <v>0</v>
      </c>
      <c r="V112" s="136">
        <f t="shared" si="160"/>
        <v>0</v>
      </c>
      <c r="W112" s="136">
        <f t="shared" si="160"/>
        <v>-3227.49</v>
      </c>
      <c r="X112" s="136">
        <f t="shared" si="160"/>
        <v>-162.80000000000001</v>
      </c>
      <c r="Y112" s="136">
        <f t="shared" si="160"/>
        <v>-3789.37</v>
      </c>
      <c r="Z112" s="136">
        <f t="shared" si="160"/>
        <v>-330</v>
      </c>
      <c r="AA112" s="136">
        <f t="shared" si="160"/>
        <v>0</v>
      </c>
      <c r="AB112" s="136">
        <f t="shared" si="37"/>
        <v>-7509.66</v>
      </c>
      <c r="AC112" s="136">
        <f>(((((Q112)+(S112))+(T112))+(U112))+(V112))+(AB112)+R112</f>
        <v>-14159.409999999998</v>
      </c>
      <c r="AD112" s="136">
        <f>(AD33)-(AD111)</f>
        <v>0</v>
      </c>
      <c r="AE112" s="173">
        <f t="shared" si="131"/>
        <v>-11041.38</v>
      </c>
    </row>
    <row r="113" spans="1:31" x14ac:dyDescent="0.2">
      <c r="A113" s="133" t="s">
        <v>339</v>
      </c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244"/>
      <c r="P113" s="20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61"/>
    </row>
    <row r="114" spans="1:31" x14ac:dyDescent="0.2">
      <c r="A114" s="133" t="s">
        <v>340</v>
      </c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207">
        <f t="shared" ref="O114" si="161">M114+N114+K114+L114</f>
        <v>0</v>
      </c>
      <c r="P114" s="207">
        <f t="shared" ref="P114" si="162">B114+J114+O114+E114+F114+H114+I114</f>
        <v>0</v>
      </c>
      <c r="Q114" s="134"/>
      <c r="R114" s="134"/>
      <c r="S114" s="37"/>
      <c r="T114" s="134"/>
      <c r="U114" s="134"/>
      <c r="V114" s="134"/>
      <c r="W114" s="134"/>
      <c r="X114" s="134"/>
      <c r="Y114" s="134"/>
      <c r="Z114" s="134"/>
      <c r="AA114" s="134"/>
      <c r="AB114" s="135">
        <f>((((W114)+(X114))+(Y114))+(Z114))+(AA114)</f>
        <v>0</v>
      </c>
      <c r="AC114" s="135">
        <f>(((((Q114)+(S114))+(T114))+(U114))+(V114))+(AB114)</f>
        <v>0</v>
      </c>
      <c r="AD114" s="135"/>
      <c r="AE114" s="162">
        <f>((P114)+(AC114))+(AD114)</f>
        <v>0</v>
      </c>
    </row>
    <row r="115" spans="1:31" x14ac:dyDescent="0.2">
      <c r="A115" s="133" t="s">
        <v>341</v>
      </c>
      <c r="B115" s="136">
        <f t="shared" ref="B115:N115" si="163">B114</f>
        <v>0</v>
      </c>
      <c r="C115" s="136">
        <f t="shared" ref="C115" si="164">C114</f>
        <v>0</v>
      </c>
      <c r="D115" s="136">
        <f t="shared" si="163"/>
        <v>0</v>
      </c>
      <c r="E115" s="136">
        <f t="shared" ref="E115:J115" si="165">E114</f>
        <v>0</v>
      </c>
      <c r="F115" s="136">
        <f t="shared" si="165"/>
        <v>0</v>
      </c>
      <c r="G115" s="136">
        <f t="shared" ref="G115" si="166">G114</f>
        <v>0</v>
      </c>
      <c r="H115" s="136">
        <f t="shared" si="165"/>
        <v>0</v>
      </c>
      <c r="I115" s="136">
        <f t="shared" si="165"/>
        <v>0</v>
      </c>
      <c r="J115" s="136">
        <f t="shared" si="165"/>
        <v>0</v>
      </c>
      <c r="K115" s="136">
        <f t="shared" si="163"/>
        <v>0</v>
      </c>
      <c r="L115" s="136">
        <f t="shared" ref="L115" si="167">L114</f>
        <v>0</v>
      </c>
      <c r="M115" s="136">
        <f t="shared" si="163"/>
        <v>0</v>
      </c>
      <c r="N115" s="136">
        <f t="shared" si="163"/>
        <v>0</v>
      </c>
      <c r="O115" s="245">
        <f>M115+N115+L115+K115</f>
        <v>0</v>
      </c>
      <c r="P115" s="224">
        <f>B115+D115+J115+O115+E115+F115+H115+I115+C115+G115</f>
        <v>0</v>
      </c>
      <c r="Q115" s="136">
        <f t="shared" ref="Q115:AA115" si="168">Q114</f>
        <v>0</v>
      </c>
      <c r="R115" s="136">
        <f t="shared" ref="R115" si="169">R114</f>
        <v>0</v>
      </c>
      <c r="S115" s="136">
        <f t="shared" si="168"/>
        <v>0</v>
      </c>
      <c r="T115" s="136">
        <f t="shared" si="168"/>
        <v>0</v>
      </c>
      <c r="U115" s="136">
        <f t="shared" si="168"/>
        <v>0</v>
      </c>
      <c r="V115" s="136">
        <f t="shared" si="168"/>
        <v>0</v>
      </c>
      <c r="W115" s="136">
        <f t="shared" si="168"/>
        <v>0</v>
      </c>
      <c r="X115" s="136">
        <f t="shared" si="168"/>
        <v>0</v>
      </c>
      <c r="Y115" s="136">
        <f t="shared" si="168"/>
        <v>0</v>
      </c>
      <c r="Z115" s="136">
        <f t="shared" si="168"/>
        <v>0</v>
      </c>
      <c r="AA115" s="136">
        <f t="shared" si="168"/>
        <v>0</v>
      </c>
      <c r="AB115" s="136">
        <f>((((W115)+(X115))+(Y115))+(Z115))+(AA115)</f>
        <v>0</v>
      </c>
      <c r="AC115" s="136">
        <f>(((((Q115)+(S115))+(T115))+(U115))+(V115))+(AB115)+R115</f>
        <v>0</v>
      </c>
      <c r="AD115" s="136">
        <f>AD114</f>
        <v>0</v>
      </c>
      <c r="AE115" s="163">
        <f>((P115)+(AC115))+(AD115)</f>
        <v>0</v>
      </c>
    </row>
    <row r="116" spans="1:31" x14ac:dyDescent="0.2">
      <c r="A116" s="133" t="s">
        <v>342</v>
      </c>
      <c r="B116" s="136">
        <f t="shared" ref="B116:N116" si="170">(B115)-(0)</f>
        <v>0</v>
      </c>
      <c r="C116" s="136">
        <f t="shared" ref="C116" si="171">(C115)-(0)</f>
        <v>0</v>
      </c>
      <c r="D116" s="136">
        <f t="shared" si="170"/>
        <v>0</v>
      </c>
      <c r="E116" s="136">
        <f t="shared" ref="E116:J116" si="172">(E115)-(0)</f>
        <v>0</v>
      </c>
      <c r="F116" s="136">
        <f t="shared" si="172"/>
        <v>0</v>
      </c>
      <c r="G116" s="136">
        <f t="shared" ref="G116" si="173">(G115)-(0)</f>
        <v>0</v>
      </c>
      <c r="H116" s="136">
        <f t="shared" si="172"/>
        <v>0</v>
      </c>
      <c r="I116" s="136">
        <f t="shared" si="172"/>
        <v>0</v>
      </c>
      <c r="J116" s="136">
        <f t="shared" si="172"/>
        <v>0</v>
      </c>
      <c r="K116" s="136">
        <f t="shared" si="170"/>
        <v>0</v>
      </c>
      <c r="L116" s="136">
        <f t="shared" ref="L116" si="174">(L115)-(0)</f>
        <v>0</v>
      </c>
      <c r="M116" s="136">
        <f t="shared" si="170"/>
        <v>0</v>
      </c>
      <c r="N116" s="136">
        <f t="shared" si="170"/>
        <v>0</v>
      </c>
      <c r="O116" s="245">
        <f>M116+N116+L116+K116</f>
        <v>0</v>
      </c>
      <c r="P116" s="224">
        <f>B116+D116+J116+O116+E116+F116+H116+I116+C116+G116</f>
        <v>0</v>
      </c>
      <c r="Q116" s="136">
        <f t="shared" ref="Q116:AA116" si="175">(Q115)-(0)</f>
        <v>0</v>
      </c>
      <c r="R116" s="136">
        <f t="shared" ref="R116" si="176">(R115)-(0)</f>
        <v>0</v>
      </c>
      <c r="S116" s="136">
        <f t="shared" si="175"/>
        <v>0</v>
      </c>
      <c r="T116" s="136">
        <f t="shared" si="175"/>
        <v>0</v>
      </c>
      <c r="U116" s="136">
        <f t="shared" si="175"/>
        <v>0</v>
      </c>
      <c r="V116" s="136">
        <f t="shared" si="175"/>
        <v>0</v>
      </c>
      <c r="W116" s="136">
        <f t="shared" si="175"/>
        <v>0</v>
      </c>
      <c r="X116" s="136">
        <f t="shared" si="175"/>
        <v>0</v>
      </c>
      <c r="Y116" s="136">
        <f t="shared" si="175"/>
        <v>0</v>
      </c>
      <c r="Z116" s="136">
        <f t="shared" si="175"/>
        <v>0</v>
      </c>
      <c r="AA116" s="136">
        <f t="shared" si="175"/>
        <v>0</v>
      </c>
      <c r="AB116" s="136">
        <f>((((W116)+(X116))+(Y116))+(Z116))+(AA116)</f>
        <v>0</v>
      </c>
      <c r="AC116" s="136">
        <f>(((((Q116)+(S116))+(T116))+(U116))+(V116))+(AB116)+R116</f>
        <v>0</v>
      </c>
      <c r="AD116" s="136">
        <f>(AD115)-(0)</f>
        <v>0</v>
      </c>
      <c r="AE116" s="163">
        <f>((P116)+(AC116))+(AD116)</f>
        <v>0</v>
      </c>
    </row>
    <row r="117" spans="1:31" x14ac:dyDescent="0.2">
      <c r="A117" s="133" t="s">
        <v>126</v>
      </c>
      <c r="B117" s="136">
        <f>(B112)+(B116)</f>
        <v>0</v>
      </c>
      <c r="C117" s="136">
        <f>(C112)+(C116)</f>
        <v>1029.46</v>
      </c>
      <c r="D117" s="136">
        <f t="shared" ref="D117:N117" si="177">(D112)+(D116)</f>
        <v>0</v>
      </c>
      <c r="E117" s="136">
        <f t="shared" ref="E117:J117" si="178">(E112)+(E116)</f>
        <v>-675.53</v>
      </c>
      <c r="F117" s="136">
        <f t="shared" si="178"/>
        <v>0</v>
      </c>
      <c r="G117" s="136">
        <f t="shared" ref="G117" si="179">(G112)+(G116)</f>
        <v>0</v>
      </c>
      <c r="H117" s="136">
        <f t="shared" si="178"/>
        <v>1798.75</v>
      </c>
      <c r="I117" s="136">
        <f t="shared" si="178"/>
        <v>0</v>
      </c>
      <c r="J117" s="136">
        <f t="shared" si="178"/>
        <v>2394.7699999999995</v>
      </c>
      <c r="K117" s="136">
        <f t="shared" si="177"/>
        <v>-1206.6500000000001</v>
      </c>
      <c r="L117" s="136">
        <f>(L112)+(L116)</f>
        <v>-170.62000000000003</v>
      </c>
      <c r="M117" s="136">
        <f t="shared" si="177"/>
        <v>-52.150000000000091</v>
      </c>
      <c r="N117" s="136">
        <f t="shared" si="177"/>
        <v>0</v>
      </c>
      <c r="O117" s="245">
        <f>M117+N117+L117+K117</f>
        <v>-1429.4200000000003</v>
      </c>
      <c r="P117" s="224">
        <f>B117+D117+J117+O117+E117+F117+H117+I117+C117+G117</f>
        <v>3118.0299999999993</v>
      </c>
      <c r="Q117" s="136">
        <f t="shared" ref="Q117:AA117" si="180">(Q112)+(Q116)</f>
        <v>0</v>
      </c>
      <c r="R117" s="136">
        <f t="shared" ref="R117" si="181">(R112)+(R116)</f>
        <v>176.15</v>
      </c>
      <c r="S117" s="136">
        <f t="shared" si="180"/>
        <v>-6825.8999999999978</v>
      </c>
      <c r="T117" s="136">
        <f t="shared" si="180"/>
        <v>0</v>
      </c>
      <c r="U117" s="136">
        <f t="shared" si="180"/>
        <v>0</v>
      </c>
      <c r="V117" s="136">
        <f t="shared" si="180"/>
        <v>0</v>
      </c>
      <c r="W117" s="136">
        <f t="shared" si="180"/>
        <v>-3227.49</v>
      </c>
      <c r="X117" s="136">
        <f t="shared" si="180"/>
        <v>-162.80000000000001</v>
      </c>
      <c r="Y117" s="136">
        <f t="shared" si="180"/>
        <v>-3789.37</v>
      </c>
      <c r="Z117" s="136">
        <f t="shared" si="180"/>
        <v>-330</v>
      </c>
      <c r="AA117" s="136">
        <f t="shared" si="180"/>
        <v>0</v>
      </c>
      <c r="AB117" s="136">
        <f>((((W117)+(X117))+(Y117))+(Z117))+(AA117)</f>
        <v>-7509.66</v>
      </c>
      <c r="AC117" s="136">
        <f>(((((Q117)+(S117))+(T117))+(U117))+(V117))+(AB117)+R117</f>
        <v>-14159.409999999998</v>
      </c>
      <c r="AD117" s="136">
        <f>(AD112)+(AD116)</f>
        <v>0</v>
      </c>
      <c r="AE117" s="163">
        <f>((P117)+(AC117))+(AD117)</f>
        <v>-11041.38</v>
      </c>
    </row>
    <row r="118" spans="1:31" x14ac:dyDescent="0.2">
      <c r="A118" s="133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204"/>
      <c r="P118" s="20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61"/>
    </row>
    <row r="119" spans="1:31" x14ac:dyDescent="0.2">
      <c r="A119" s="253" t="s">
        <v>480</v>
      </c>
      <c r="B119" s="254"/>
      <c r="C119" s="254"/>
      <c r="D119" s="254"/>
      <c r="E119" s="254"/>
      <c r="F119" s="254"/>
      <c r="G119" s="254"/>
      <c r="H119" s="254"/>
      <c r="I119" s="254"/>
      <c r="J119" s="254"/>
      <c r="K119" s="254"/>
      <c r="L119" s="254"/>
      <c r="M119" s="254"/>
      <c r="N119" s="254"/>
      <c r="O119" s="254"/>
      <c r="P119" s="254"/>
      <c r="Q119" s="254"/>
      <c r="R119" s="254"/>
      <c r="S119" s="254"/>
      <c r="T119" s="254"/>
      <c r="U119" s="254"/>
      <c r="V119" s="254"/>
      <c r="W119" s="254"/>
      <c r="X119" s="254"/>
      <c r="Y119" s="254"/>
      <c r="Z119" s="254"/>
      <c r="AA119" s="254"/>
      <c r="AB119" s="254"/>
      <c r="AC119" s="254"/>
    </row>
    <row r="120" spans="1:31" x14ac:dyDescent="0.2">
      <c r="A120" s="253" t="s">
        <v>481</v>
      </c>
      <c r="B120" s="254"/>
      <c r="C120" s="254"/>
      <c r="D120" s="255"/>
      <c r="E120" s="254"/>
      <c r="F120" s="254"/>
      <c r="G120" s="254"/>
      <c r="H120" s="254"/>
      <c r="I120" s="254"/>
      <c r="J120" s="255"/>
      <c r="K120" s="254"/>
      <c r="L120" s="254"/>
      <c r="M120" s="254"/>
      <c r="N120" s="254"/>
      <c r="O120" s="254"/>
      <c r="P120" s="255"/>
      <c r="Q120" s="255"/>
      <c r="R120" s="254"/>
      <c r="S120" s="254"/>
      <c r="T120" s="254"/>
      <c r="U120" s="254"/>
      <c r="V120" s="254"/>
      <c r="W120" s="254"/>
      <c r="X120" s="254"/>
      <c r="Y120" s="254"/>
      <c r="Z120" s="254"/>
      <c r="AA120" s="255"/>
      <c r="AB120" s="255"/>
      <c r="AC120" s="255"/>
    </row>
    <row r="121" spans="1:31" x14ac:dyDescent="0.2">
      <c r="A121" s="253" t="s">
        <v>482</v>
      </c>
      <c r="B121" s="254"/>
      <c r="C121" s="254"/>
      <c r="D121" s="255"/>
      <c r="E121" s="255"/>
      <c r="F121" s="254"/>
      <c r="G121" s="254"/>
      <c r="H121" s="254"/>
      <c r="I121" s="254"/>
      <c r="J121" s="255"/>
      <c r="K121" s="254"/>
      <c r="L121" s="254"/>
      <c r="M121" s="254"/>
      <c r="N121" s="254"/>
      <c r="O121" s="254"/>
      <c r="P121" s="255">
        <v>825.71</v>
      </c>
      <c r="Q121" s="255"/>
      <c r="R121" s="254"/>
      <c r="S121" s="254"/>
      <c r="T121" s="254"/>
      <c r="U121" s="254"/>
      <c r="V121" s="254"/>
      <c r="W121" s="254"/>
      <c r="X121" s="254"/>
      <c r="Y121" s="254"/>
      <c r="Z121" s="254"/>
      <c r="AA121" s="255"/>
      <c r="AB121" s="255"/>
      <c r="AC121" s="255"/>
    </row>
    <row r="122" spans="1:31" x14ac:dyDescent="0.2">
      <c r="A122" s="253" t="s">
        <v>483</v>
      </c>
      <c r="B122" s="254"/>
      <c r="C122" s="254"/>
      <c r="D122" s="255"/>
      <c r="E122" s="254"/>
      <c r="F122" s="254"/>
      <c r="G122" s="254"/>
      <c r="H122" s="254"/>
      <c r="I122" s="254"/>
      <c r="J122" s="255"/>
      <c r="K122" s="254"/>
      <c r="L122" s="254"/>
      <c r="M122" s="254"/>
      <c r="N122" s="254"/>
      <c r="O122" s="254"/>
      <c r="P122" s="255"/>
      <c r="Q122" s="255"/>
      <c r="R122" s="254"/>
      <c r="S122" s="254">
        <v>903.26</v>
      </c>
      <c r="T122" s="255">
        <f>903.26</f>
        <v>903.26</v>
      </c>
      <c r="U122" s="254"/>
      <c r="V122" s="254"/>
      <c r="W122" s="254"/>
      <c r="X122" s="254"/>
      <c r="Y122" s="254"/>
      <c r="Z122" s="254"/>
      <c r="AA122" s="255"/>
      <c r="AB122" s="255"/>
      <c r="AC122" s="255"/>
    </row>
    <row r="123" spans="1:31" x14ac:dyDescent="0.2">
      <c r="A123" s="253" t="s">
        <v>484</v>
      </c>
      <c r="AE123" s="257">
        <f>SUM(AE121:AE122)</f>
        <v>0</v>
      </c>
    </row>
    <row r="124" spans="1:31" x14ac:dyDescent="0.2">
      <c r="A124" s="253" t="s">
        <v>485</v>
      </c>
    </row>
    <row r="125" spans="1:31" x14ac:dyDescent="0.2">
      <c r="A125" s="253" t="s">
        <v>342</v>
      </c>
    </row>
    <row r="126" spans="1:31" x14ac:dyDescent="0.2">
      <c r="A126" s="253" t="s">
        <v>126</v>
      </c>
      <c r="AE126" s="100"/>
    </row>
  </sheetData>
  <sheetProtection selectLockedCells="1" selectUnlockedCells="1"/>
  <mergeCells count="3">
    <mergeCell ref="A1:AA1"/>
    <mergeCell ref="A2:AA2"/>
    <mergeCell ref="A3:AA3"/>
  </mergeCells>
  <phoneticPr fontId="7" type="noConversion"/>
  <pageMargins left="0.2361111111111111" right="0.2361111111111111" top="0.74791666666666667" bottom="0.74791666666666667" header="0.51180555555555551" footer="0.51180555555555551"/>
  <pageSetup scale="37" firstPageNumber="0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workbookViewId="0">
      <selection activeCell="H16" sqref="H16"/>
    </sheetView>
  </sheetViews>
  <sheetFormatPr defaultRowHeight="12.75" x14ac:dyDescent="0.2"/>
  <cols>
    <col min="3" max="3" width="32.7109375" bestFit="1" customWidth="1"/>
  </cols>
  <sheetData>
    <row r="1" spans="1:10" x14ac:dyDescent="0.2">
      <c r="A1" s="4" t="s">
        <v>176</v>
      </c>
    </row>
    <row r="2" spans="1:10" x14ac:dyDescent="0.2">
      <c r="A2" s="4" t="s">
        <v>332</v>
      </c>
    </row>
    <row r="3" spans="1:10" x14ac:dyDescent="0.2">
      <c r="B3" s="43"/>
      <c r="C3" s="43"/>
      <c r="D3" s="115" t="s">
        <v>59</v>
      </c>
      <c r="E3" s="113"/>
      <c r="F3" s="114" t="s">
        <v>326</v>
      </c>
      <c r="G3" s="114"/>
      <c r="H3" s="114" t="s">
        <v>327</v>
      </c>
      <c r="J3" s="114" t="s">
        <v>328</v>
      </c>
    </row>
    <row r="4" spans="1:10" x14ac:dyDescent="0.2">
      <c r="A4" s="48"/>
      <c r="B4" s="48"/>
      <c r="C4" s="48"/>
      <c r="D4" s="102" t="s">
        <v>212</v>
      </c>
      <c r="E4" s="55"/>
      <c r="F4" s="102" t="s">
        <v>212</v>
      </c>
      <c r="G4" s="112"/>
      <c r="H4" s="102" t="s">
        <v>212</v>
      </c>
      <c r="J4" s="102" t="s">
        <v>212</v>
      </c>
    </row>
    <row r="5" spans="1:10" x14ac:dyDescent="0.2">
      <c r="A5" s="55" t="s">
        <v>214</v>
      </c>
      <c r="B5" s="55"/>
      <c r="C5" s="55"/>
      <c r="D5" s="59"/>
      <c r="E5" s="57"/>
      <c r="F5" s="108"/>
      <c r="G5" s="60"/>
      <c r="H5" s="108"/>
      <c r="J5" s="108"/>
    </row>
    <row r="6" spans="1:10" x14ac:dyDescent="0.2">
      <c r="A6" s="43"/>
      <c r="B6" s="43" t="s">
        <v>215</v>
      </c>
      <c r="C6" s="43"/>
      <c r="D6" s="67"/>
      <c r="E6" s="64"/>
      <c r="F6" s="109"/>
      <c r="G6" s="68"/>
      <c r="H6" s="109"/>
      <c r="J6" s="109"/>
    </row>
    <row r="7" spans="1:10" x14ac:dyDescent="0.2">
      <c r="A7" s="43"/>
      <c r="B7" s="43"/>
      <c r="C7" s="43" t="s">
        <v>216</v>
      </c>
      <c r="D7" s="67">
        <v>50000</v>
      </c>
      <c r="E7" s="64"/>
      <c r="F7" s="109">
        <v>50000</v>
      </c>
      <c r="G7" s="68"/>
      <c r="H7" s="109"/>
      <c r="J7" s="109"/>
    </row>
    <row r="8" spans="1:10" x14ac:dyDescent="0.2">
      <c r="A8" s="43"/>
      <c r="B8" s="43"/>
      <c r="C8" s="43" t="s">
        <v>217</v>
      </c>
      <c r="D8" s="67">
        <v>12000</v>
      </c>
      <c r="E8" s="64"/>
      <c r="F8" s="109">
        <v>12000</v>
      </c>
      <c r="G8" s="68"/>
      <c r="H8" s="109"/>
      <c r="J8" s="109"/>
    </row>
    <row r="9" spans="1:10" x14ac:dyDescent="0.2">
      <c r="A9" s="43"/>
      <c r="B9" s="43" t="s">
        <v>218</v>
      </c>
      <c r="C9" s="43"/>
      <c r="D9" s="67"/>
      <c r="E9" s="64"/>
      <c r="F9" s="109"/>
      <c r="G9" s="68"/>
      <c r="H9" s="109"/>
      <c r="J9" s="109"/>
    </row>
    <row r="10" spans="1:10" x14ac:dyDescent="0.2">
      <c r="A10" s="43"/>
      <c r="B10" s="43"/>
      <c r="C10" s="43" t="s">
        <v>219</v>
      </c>
      <c r="D10" s="67"/>
      <c r="E10" s="64"/>
      <c r="F10" s="109"/>
      <c r="G10" s="68"/>
      <c r="H10" s="109"/>
      <c r="J10" s="109"/>
    </row>
    <row r="11" spans="1:10" x14ac:dyDescent="0.2">
      <c r="A11" s="43"/>
      <c r="B11" s="43"/>
      <c r="C11" s="43" t="s">
        <v>220</v>
      </c>
      <c r="D11" s="67">
        <v>2500</v>
      </c>
      <c r="E11" s="64"/>
      <c r="F11" s="109"/>
      <c r="G11" s="68"/>
      <c r="H11" s="109">
        <v>2500</v>
      </c>
      <c r="J11" s="109"/>
    </row>
    <row r="12" spans="1:10" x14ac:dyDescent="0.2">
      <c r="A12" s="43"/>
      <c r="B12" s="43"/>
      <c r="C12" s="43" t="s">
        <v>221</v>
      </c>
      <c r="D12" s="67">
        <v>12000</v>
      </c>
      <c r="E12" s="64"/>
      <c r="F12" s="109"/>
      <c r="G12" s="68"/>
      <c r="H12" s="109">
        <v>12000</v>
      </c>
      <c r="J12" s="109"/>
    </row>
    <row r="13" spans="1:10" x14ac:dyDescent="0.2">
      <c r="A13" s="43"/>
      <c r="B13" s="43"/>
      <c r="C13" s="43" t="s">
        <v>222</v>
      </c>
      <c r="D13" s="67">
        <v>7000</v>
      </c>
      <c r="E13" s="64"/>
      <c r="F13" s="109">
        <v>1000</v>
      </c>
      <c r="G13" s="68"/>
      <c r="H13" s="109">
        <v>3000</v>
      </c>
      <c r="J13" s="109">
        <v>3000</v>
      </c>
    </row>
    <row r="14" spans="1:10" x14ac:dyDescent="0.2">
      <c r="A14" s="43"/>
      <c r="B14" s="43" t="s">
        <v>181</v>
      </c>
      <c r="C14" s="43"/>
      <c r="D14" s="67">
        <v>500</v>
      </c>
      <c r="E14" s="64"/>
      <c r="F14" s="109">
        <v>500</v>
      </c>
      <c r="G14" s="68"/>
      <c r="H14" s="109"/>
      <c r="J14" s="109"/>
    </row>
    <row r="15" spans="1:10" x14ac:dyDescent="0.2">
      <c r="A15" s="43"/>
      <c r="B15" s="43" t="s">
        <v>27</v>
      </c>
      <c r="C15" s="43"/>
      <c r="D15" s="67">
        <v>3150</v>
      </c>
      <c r="E15" s="64"/>
      <c r="F15" s="109"/>
      <c r="G15" s="68"/>
      <c r="H15" s="109">
        <v>3150</v>
      </c>
      <c r="J15" s="109"/>
    </row>
    <row r="16" spans="1:10" x14ac:dyDescent="0.2">
      <c r="A16" s="43"/>
      <c r="B16" s="43" t="s">
        <v>177</v>
      </c>
      <c r="C16" s="43"/>
      <c r="D16" s="67">
        <v>3940</v>
      </c>
      <c r="E16" s="64"/>
      <c r="F16" s="109">
        <v>680</v>
      </c>
      <c r="G16" s="68"/>
      <c r="H16" s="109">
        <v>3260</v>
      </c>
      <c r="J16" s="109"/>
    </row>
    <row r="17" spans="1:10" x14ac:dyDescent="0.2">
      <c r="A17" s="43"/>
      <c r="B17" s="43" t="s">
        <v>223</v>
      </c>
      <c r="C17" s="43"/>
      <c r="D17" s="67">
        <v>60</v>
      </c>
      <c r="E17" s="64"/>
      <c r="F17" s="109">
        <v>60</v>
      </c>
      <c r="G17" s="68"/>
      <c r="H17" s="109"/>
      <c r="J17" s="109"/>
    </row>
    <row r="18" spans="1:10" ht="13.5" thickBot="1" x14ac:dyDescent="0.25">
      <c r="A18" s="43"/>
      <c r="B18" s="43"/>
      <c r="C18" s="43"/>
      <c r="D18" s="106">
        <v>91150</v>
      </c>
      <c r="E18" s="64"/>
      <c r="F18" s="110">
        <v>64240</v>
      </c>
      <c r="G18" s="68"/>
      <c r="H18" s="110">
        <v>23910</v>
      </c>
      <c r="J18" s="110">
        <v>3000</v>
      </c>
    </row>
    <row r="19" spans="1:10" ht="13.5" thickTop="1" x14ac:dyDescent="0.2">
      <c r="A19" s="43"/>
      <c r="B19" s="43"/>
      <c r="C19" s="43"/>
      <c r="D19" s="67"/>
      <c r="E19" s="64"/>
      <c r="F19" s="109"/>
      <c r="G19" s="68"/>
      <c r="H19" s="109"/>
      <c r="J19" s="109"/>
    </row>
    <row r="20" spans="1:10" x14ac:dyDescent="0.2">
      <c r="A20" s="55" t="s">
        <v>224</v>
      </c>
      <c r="B20" s="43"/>
      <c r="C20" s="43"/>
      <c r="D20" s="67"/>
      <c r="E20" s="64"/>
      <c r="F20" s="109"/>
      <c r="G20" s="68"/>
      <c r="H20" s="109"/>
      <c r="J20" s="109"/>
    </row>
    <row r="21" spans="1:10" x14ac:dyDescent="0.2">
      <c r="A21" s="55"/>
      <c r="B21" s="43" t="s">
        <v>225</v>
      </c>
      <c r="C21" s="43"/>
      <c r="D21" s="67">
        <v>49500</v>
      </c>
      <c r="E21" s="64"/>
      <c r="F21" s="109">
        <v>35000</v>
      </c>
      <c r="G21" s="68"/>
      <c r="H21" s="109">
        <v>14500</v>
      </c>
      <c r="J21" s="109"/>
    </row>
    <row r="22" spans="1:10" x14ac:dyDescent="0.2">
      <c r="A22" s="55"/>
      <c r="B22" s="43" t="s">
        <v>226</v>
      </c>
      <c r="C22" s="43"/>
      <c r="D22" s="67">
        <v>14500</v>
      </c>
      <c r="E22" s="64"/>
      <c r="F22" s="109">
        <v>14500</v>
      </c>
      <c r="G22" s="68"/>
      <c r="H22" s="109"/>
      <c r="J22" s="109"/>
    </row>
    <row r="23" spans="1:10" x14ac:dyDescent="0.2">
      <c r="A23" s="55"/>
      <c r="B23" s="43" t="s">
        <v>227</v>
      </c>
      <c r="C23" s="43"/>
      <c r="D23" s="67">
        <v>11000</v>
      </c>
      <c r="E23" s="64"/>
      <c r="F23" s="109">
        <v>11000</v>
      </c>
      <c r="G23" s="68"/>
      <c r="H23" s="109"/>
      <c r="J23" s="109"/>
    </row>
    <row r="24" spans="1:10" x14ac:dyDescent="0.2">
      <c r="A24" s="55"/>
      <c r="B24" s="43" t="s">
        <v>228</v>
      </c>
      <c r="C24" s="43"/>
      <c r="D24" s="67">
        <v>7700</v>
      </c>
      <c r="E24" s="64"/>
      <c r="F24" s="109">
        <v>4920</v>
      </c>
      <c r="G24" s="68"/>
      <c r="H24" s="109">
        <v>80</v>
      </c>
      <c r="J24" s="109">
        <v>2700</v>
      </c>
    </row>
    <row r="25" spans="1:10" x14ac:dyDescent="0.2">
      <c r="A25" s="55"/>
      <c r="B25" s="43" t="s">
        <v>229</v>
      </c>
      <c r="C25" s="43"/>
      <c r="D25" s="67">
        <v>4000</v>
      </c>
      <c r="E25" s="64"/>
      <c r="F25" s="109">
        <v>3880</v>
      </c>
      <c r="G25" s="68"/>
      <c r="H25" s="109">
        <v>120</v>
      </c>
      <c r="J25" s="109"/>
    </row>
    <row r="26" spans="1:10" x14ac:dyDescent="0.2">
      <c r="A26" s="55"/>
      <c r="B26" s="43" t="s">
        <v>230</v>
      </c>
      <c r="C26" s="43"/>
      <c r="D26" s="67">
        <v>1500</v>
      </c>
      <c r="E26" s="64"/>
      <c r="F26" s="109">
        <v>1200</v>
      </c>
      <c r="G26" s="68"/>
      <c r="H26" s="109"/>
      <c r="J26" s="109">
        <v>300</v>
      </c>
    </row>
    <row r="27" spans="1:10" x14ac:dyDescent="0.2">
      <c r="A27" s="55"/>
      <c r="B27" s="43" t="s">
        <v>231</v>
      </c>
      <c r="C27" s="43"/>
      <c r="D27" s="67">
        <v>1700</v>
      </c>
      <c r="E27" s="64"/>
      <c r="F27" s="109"/>
      <c r="G27" s="68"/>
      <c r="H27" s="109">
        <v>1700</v>
      </c>
      <c r="J27" s="109"/>
    </row>
    <row r="28" spans="1:10" x14ac:dyDescent="0.2">
      <c r="A28" s="55"/>
      <c r="B28" s="43" t="s">
        <v>232</v>
      </c>
      <c r="C28" s="43"/>
      <c r="D28" s="67">
        <v>3000</v>
      </c>
      <c r="E28" s="64"/>
      <c r="F28" s="109"/>
      <c r="G28" s="68"/>
      <c r="H28" s="109">
        <v>3000</v>
      </c>
      <c r="J28" s="109"/>
    </row>
    <row r="29" spans="1:10" x14ac:dyDescent="0.2">
      <c r="A29" s="55"/>
      <c r="B29" s="43" t="s">
        <v>6</v>
      </c>
      <c r="C29" s="43"/>
      <c r="D29" s="67">
        <v>700</v>
      </c>
      <c r="E29" s="64"/>
      <c r="F29" s="109">
        <v>500</v>
      </c>
      <c r="G29" s="68"/>
      <c r="H29" s="109">
        <v>200</v>
      </c>
      <c r="J29" s="109"/>
    </row>
    <row r="30" spans="1:10" x14ac:dyDescent="0.2">
      <c r="A30" s="55"/>
      <c r="B30" s="43" t="s">
        <v>233</v>
      </c>
      <c r="C30" s="43"/>
      <c r="D30" s="67"/>
      <c r="E30" s="64"/>
      <c r="F30" s="109">
        <v>-1500</v>
      </c>
      <c r="G30" s="68"/>
      <c r="H30" s="109">
        <v>1500</v>
      </c>
      <c r="J30" s="109"/>
    </row>
    <row r="31" spans="1:10" x14ac:dyDescent="0.2">
      <c r="A31" s="55"/>
      <c r="B31" s="43" t="s">
        <v>234</v>
      </c>
      <c r="C31" s="43"/>
      <c r="D31" s="67"/>
      <c r="E31" s="64"/>
      <c r="F31" s="109"/>
      <c r="G31" s="68"/>
      <c r="H31" s="109"/>
      <c r="J31" s="109"/>
    </row>
    <row r="32" spans="1:10" x14ac:dyDescent="0.2">
      <c r="A32" s="55"/>
      <c r="B32" s="43"/>
      <c r="C32" s="105"/>
      <c r="D32" s="107">
        <v>93600</v>
      </c>
      <c r="E32" s="64"/>
      <c r="F32" s="111">
        <v>69500</v>
      </c>
      <c r="G32" s="68"/>
      <c r="H32" s="111">
        <v>21100</v>
      </c>
      <c r="J32" s="111">
        <v>3000</v>
      </c>
    </row>
    <row r="33" spans="1:10" x14ac:dyDescent="0.2">
      <c r="A33" s="55"/>
      <c r="B33" s="43"/>
      <c r="C33" s="43"/>
      <c r="D33" s="67"/>
      <c r="E33" s="64"/>
      <c r="F33" s="109"/>
      <c r="G33" s="68"/>
      <c r="H33" s="109"/>
      <c r="J33" s="109"/>
    </row>
    <row r="34" spans="1:10" x14ac:dyDescent="0.2">
      <c r="A34" s="55"/>
      <c r="B34" s="43"/>
      <c r="C34" s="89" t="s">
        <v>236</v>
      </c>
      <c r="D34" s="103">
        <v>-2450</v>
      </c>
      <c r="E34" s="64"/>
      <c r="F34" s="103">
        <v>-5260</v>
      </c>
      <c r="G34" s="68"/>
      <c r="H34" s="103">
        <v>2810</v>
      </c>
      <c r="J34" s="103">
        <v>0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N64"/>
  <sheetViews>
    <sheetView tabSelected="1" topLeftCell="H9" zoomScale="70" zoomScaleNormal="70" workbookViewId="0">
      <selection activeCell="O11" sqref="O11"/>
    </sheetView>
  </sheetViews>
  <sheetFormatPr defaultColWidth="9.140625" defaultRowHeight="15" x14ac:dyDescent="0.25"/>
  <cols>
    <col min="1" max="1" width="48.140625" style="101" hidden="1" customWidth="1"/>
    <col min="2" max="4" width="14.5703125" style="101" hidden="1" customWidth="1"/>
    <col min="5" max="5" width="7.5703125" style="101" hidden="1" customWidth="1"/>
    <col min="6" max="7" width="0" style="101" hidden="1" customWidth="1"/>
    <col min="8" max="8" width="48.7109375" style="101" bestFit="1" customWidth="1"/>
    <col min="9" max="9" width="24.28515625" style="101" customWidth="1"/>
    <col min="10" max="10" width="13" style="101" customWidth="1"/>
    <col min="11" max="11" width="22.140625" style="101" customWidth="1"/>
    <col min="12" max="12" width="23" style="101" customWidth="1"/>
    <col min="13" max="13" width="46.42578125" style="126" customWidth="1"/>
    <col min="14" max="16384" width="9.140625" style="101"/>
  </cols>
  <sheetData>
    <row r="1" spans="1:14" ht="18" x14ac:dyDescent="0.25">
      <c r="A1" s="302" t="s">
        <v>0</v>
      </c>
      <c r="B1" s="301"/>
      <c r="C1" s="301"/>
      <c r="D1" s="301"/>
    </row>
    <row r="2" spans="1:14" ht="21" x14ac:dyDescent="0.35">
      <c r="A2" s="302" t="s">
        <v>178</v>
      </c>
      <c r="B2" s="301"/>
      <c r="C2" s="301"/>
      <c r="D2" s="301"/>
      <c r="H2" s="318" t="s">
        <v>503</v>
      </c>
      <c r="I2" s="318"/>
      <c r="J2" s="318"/>
      <c r="K2" s="318"/>
      <c r="L2" s="318"/>
      <c r="M2" s="319"/>
    </row>
    <row r="3" spans="1:14" ht="21" x14ac:dyDescent="0.35">
      <c r="A3" s="303" t="s">
        <v>492</v>
      </c>
      <c r="B3" s="301"/>
      <c r="C3" s="301"/>
      <c r="D3" s="301"/>
      <c r="H3" s="318"/>
      <c r="I3" s="318"/>
      <c r="J3" s="318"/>
      <c r="K3" s="318"/>
      <c r="L3" s="318"/>
      <c r="M3" s="319"/>
    </row>
    <row r="4" spans="1:14" ht="21" x14ac:dyDescent="0.35">
      <c r="H4" s="318"/>
      <c r="I4" s="318"/>
      <c r="J4" s="318"/>
      <c r="K4" s="318"/>
      <c r="L4" s="318"/>
      <c r="M4" s="319"/>
    </row>
    <row r="5" spans="1:14" ht="102.75" thickBot="1" x14ac:dyDescent="0.4">
      <c r="A5" s="126"/>
      <c r="B5" s="125" t="s">
        <v>60</v>
      </c>
      <c r="C5" s="125" t="s">
        <v>79</v>
      </c>
      <c r="D5" s="125" t="s">
        <v>126</v>
      </c>
      <c r="E5" s="117" t="s">
        <v>262</v>
      </c>
      <c r="F5" s="117" t="s">
        <v>41</v>
      </c>
      <c r="H5" s="320" t="s">
        <v>192</v>
      </c>
      <c r="I5" s="321" t="s">
        <v>501</v>
      </c>
      <c r="J5" s="321" t="s">
        <v>60</v>
      </c>
      <c r="K5" s="321" t="s">
        <v>276</v>
      </c>
      <c r="L5" s="322" t="s">
        <v>502</v>
      </c>
      <c r="M5" s="323"/>
    </row>
    <row r="6" spans="1:14" ht="21.75" thickTop="1" x14ac:dyDescent="0.35">
      <c r="A6" s="120" t="s">
        <v>2</v>
      </c>
      <c r="B6" s="119"/>
      <c r="C6" s="119"/>
      <c r="D6" s="123">
        <v>0</v>
      </c>
      <c r="E6"/>
      <c r="F6"/>
      <c r="H6" s="324"/>
      <c r="I6" s="325"/>
      <c r="J6" s="325"/>
      <c r="K6" s="325"/>
      <c r="L6" s="326"/>
      <c r="M6" s="319"/>
    </row>
    <row r="7" spans="1:14" ht="21" x14ac:dyDescent="0.35">
      <c r="A7" s="120" t="s">
        <v>242</v>
      </c>
      <c r="B7" s="119"/>
      <c r="C7" s="119"/>
      <c r="D7" s="130">
        <v>0</v>
      </c>
      <c r="E7"/>
      <c r="F7"/>
      <c r="H7" s="324" t="s">
        <v>497</v>
      </c>
      <c r="I7" s="327">
        <v>6.9099999999999966</v>
      </c>
      <c r="J7" s="327">
        <v>0</v>
      </c>
      <c r="K7" s="327">
        <v>0</v>
      </c>
      <c r="L7" s="327">
        <f>+I7+J7-K7</f>
        <v>6.9099999999999966</v>
      </c>
      <c r="M7" s="319"/>
      <c r="N7" s="289"/>
    </row>
    <row r="8" spans="1:14" ht="63" x14ac:dyDescent="0.35">
      <c r="A8" s="120" t="s">
        <v>243</v>
      </c>
      <c r="B8" s="123">
        <v>12095.1</v>
      </c>
      <c r="C8" s="124">
        <v>-7195.42</v>
      </c>
      <c r="D8" s="130">
        <f>B8+C8</f>
        <v>4899.68</v>
      </c>
      <c r="E8" s="92">
        <v>-8918.77</v>
      </c>
      <c r="F8" s="137">
        <f>E8+D8</f>
        <v>-4019.09</v>
      </c>
      <c r="H8" s="324" t="s">
        <v>453</v>
      </c>
      <c r="I8" s="327">
        <v>-16.670000000000073</v>
      </c>
      <c r="J8" s="327">
        <f>+'Funds Analysis'!K32</f>
        <v>23</v>
      </c>
      <c r="K8" s="327">
        <f>+'Funds Analysis'!K111</f>
        <v>1229.6500000000001</v>
      </c>
      <c r="L8" s="327">
        <f t="shared" ref="L8:L17" si="0">+I8+J8-K8</f>
        <v>-1223.3200000000002</v>
      </c>
      <c r="M8" s="319" t="s">
        <v>508</v>
      </c>
      <c r="N8" s="289"/>
    </row>
    <row r="9" spans="1:14" ht="84" x14ac:dyDescent="0.35">
      <c r="A9" s="243" t="s">
        <v>244</v>
      </c>
      <c r="B9" s="121">
        <f>SUM(B8)</f>
        <v>12095.1</v>
      </c>
      <c r="C9" s="153">
        <v>3</v>
      </c>
      <c r="D9" s="121">
        <f>SUM(D8)</f>
        <v>4899.68</v>
      </c>
      <c r="H9" s="324" t="s">
        <v>507</v>
      </c>
      <c r="I9" s="327">
        <v>-274.59000000000003</v>
      </c>
      <c r="J9" s="327">
        <f>+'Funds Analysis'!L32</f>
        <v>160.1</v>
      </c>
      <c r="K9" s="327">
        <f>+'Funds Analysis'!L111</f>
        <v>330.72</v>
      </c>
      <c r="L9" s="327">
        <v>-607.07000000000005</v>
      </c>
      <c r="M9" s="319" t="s">
        <v>511</v>
      </c>
      <c r="N9" s="289"/>
    </row>
    <row r="10" spans="1:14" ht="21" x14ac:dyDescent="0.35">
      <c r="A10" s="120" t="s">
        <v>245</v>
      </c>
      <c r="B10" s="123">
        <v>5384</v>
      </c>
      <c r="C10" s="124">
        <f>-3804.11-1120-459.89</f>
        <v>-5384.0000000000009</v>
      </c>
      <c r="D10" s="130">
        <f>B10+C10</f>
        <v>0</v>
      </c>
      <c r="H10" s="324" t="s">
        <v>498</v>
      </c>
      <c r="I10" s="327">
        <v>4457.0399999999972</v>
      </c>
      <c r="J10" s="327">
        <f>'Funds Analysis'!M32</f>
        <v>2304.23</v>
      </c>
      <c r="K10" s="327">
        <f>+'Funds Analysis'!M111</f>
        <v>2356.38</v>
      </c>
      <c r="L10" s="327">
        <f t="shared" si="0"/>
        <v>4404.8899999999967</v>
      </c>
      <c r="M10" s="319"/>
      <c r="N10" s="289"/>
    </row>
    <row r="11" spans="1:14" ht="168" x14ac:dyDescent="0.35">
      <c r="A11" s="120" t="s">
        <v>246</v>
      </c>
      <c r="B11" s="119"/>
      <c r="C11" s="119"/>
      <c r="D11" s="130">
        <v>0</v>
      </c>
      <c r="H11" s="324" t="s">
        <v>190</v>
      </c>
      <c r="I11" s="327">
        <v>5004.82</v>
      </c>
      <c r="J11" s="327">
        <v>0</v>
      </c>
      <c r="K11" s="327">
        <v>0</v>
      </c>
      <c r="L11" s="327">
        <f t="shared" si="0"/>
        <v>5004.82</v>
      </c>
      <c r="M11" s="319" t="s">
        <v>512</v>
      </c>
      <c r="N11" s="289"/>
    </row>
    <row r="12" spans="1:14" ht="63" x14ac:dyDescent="0.35">
      <c r="A12" s="120" t="s">
        <v>274</v>
      </c>
      <c r="B12" s="123">
        <v>6000</v>
      </c>
      <c r="C12" s="124">
        <v>-5994.73</v>
      </c>
      <c r="D12" s="130">
        <f>B12+C12</f>
        <v>5.2700000000004366</v>
      </c>
      <c r="H12" s="324" t="s">
        <v>24</v>
      </c>
      <c r="I12" s="327">
        <v>2847.48</v>
      </c>
      <c r="J12" s="327">
        <f>+'Funds Analysis'!J32</f>
        <v>4068.95</v>
      </c>
      <c r="K12" s="327">
        <f>+'Funds Analysis'!J111</f>
        <v>1674.1800000000003</v>
      </c>
      <c r="L12" s="327">
        <f t="shared" si="0"/>
        <v>5242.25</v>
      </c>
      <c r="M12" s="319" t="s">
        <v>513</v>
      </c>
      <c r="N12" s="289"/>
    </row>
    <row r="13" spans="1:14" ht="42" x14ac:dyDescent="0.35">
      <c r="A13" s="243" t="s">
        <v>275</v>
      </c>
      <c r="B13" s="121">
        <f>SUM(B12)</f>
        <v>6000</v>
      </c>
      <c r="C13" s="153">
        <f>SUM(C12)</f>
        <v>-5994.73</v>
      </c>
      <c r="D13" s="121">
        <f>SUM(D12)</f>
        <v>5.2700000000004366</v>
      </c>
      <c r="H13" s="324" t="s">
        <v>469</v>
      </c>
      <c r="I13" s="327">
        <v>12500</v>
      </c>
      <c r="J13" s="327">
        <v>0</v>
      </c>
      <c r="K13" s="327">
        <v>0</v>
      </c>
      <c r="L13" s="327">
        <f t="shared" si="0"/>
        <v>12500</v>
      </c>
      <c r="M13" s="319" t="s">
        <v>514</v>
      </c>
      <c r="N13" s="289"/>
    </row>
    <row r="14" spans="1:14" ht="42" x14ac:dyDescent="0.35">
      <c r="A14" s="120" t="s">
        <v>247</v>
      </c>
      <c r="B14" s="119"/>
      <c r="C14" s="119"/>
      <c r="D14" s="130">
        <v>0</v>
      </c>
      <c r="H14" s="324" t="s">
        <v>506</v>
      </c>
      <c r="I14" s="327">
        <v>3334.7799999999997</v>
      </c>
      <c r="J14" s="327">
        <f>+'Funds Analysis'!H32</f>
        <v>1938.09</v>
      </c>
      <c r="K14" s="327">
        <f>+'Funds Analysis'!H111</f>
        <v>139.34</v>
      </c>
      <c r="L14" s="327">
        <f t="shared" si="0"/>
        <v>5133.53</v>
      </c>
      <c r="M14" s="319" t="s">
        <v>510</v>
      </c>
      <c r="N14" s="289"/>
    </row>
    <row r="15" spans="1:14" ht="42" x14ac:dyDescent="0.35">
      <c r="A15" s="120" t="s">
        <v>254</v>
      </c>
      <c r="B15" s="123">
        <v>43681.15</v>
      </c>
      <c r="C15" s="124">
        <v>-48962.82</v>
      </c>
      <c r="D15" s="130">
        <f>B15+C15</f>
        <v>-5281.6699999999983</v>
      </c>
      <c r="H15" s="324" t="s">
        <v>499</v>
      </c>
      <c r="I15" s="327">
        <v>288.78999999999996</v>
      </c>
      <c r="J15" s="327">
        <f>+'Funds Analysis'!E32</f>
        <v>0</v>
      </c>
      <c r="K15" s="327">
        <f>+'Funds Analysis'!E111</f>
        <v>675.53</v>
      </c>
      <c r="L15" s="327">
        <f t="shared" si="0"/>
        <v>-386.74</v>
      </c>
      <c r="M15" s="319" t="s">
        <v>509</v>
      </c>
      <c r="N15" s="289"/>
    </row>
    <row r="16" spans="1:14" ht="21" hidden="1" x14ac:dyDescent="0.35">
      <c r="A16" s="243" t="s">
        <v>249</v>
      </c>
      <c r="B16" s="121">
        <f>B15</f>
        <v>43681.15</v>
      </c>
      <c r="C16" s="122">
        <f>C15</f>
        <v>-48962.82</v>
      </c>
      <c r="D16" s="138">
        <f>D15</f>
        <v>-5281.6699999999983</v>
      </c>
      <c r="H16" s="324" t="s">
        <v>414</v>
      </c>
      <c r="I16" s="327">
        <v>4.5474735088646412E-13</v>
      </c>
      <c r="J16" s="327">
        <v>0</v>
      </c>
      <c r="K16" s="327">
        <v>0</v>
      </c>
      <c r="L16" s="327">
        <f t="shared" si="0"/>
        <v>4.5474735088646412E-13</v>
      </c>
      <c r="M16" s="319"/>
      <c r="N16" s="289">
        <f t="shared" ref="N16" si="1">J16-K16</f>
        <v>0</v>
      </c>
    </row>
    <row r="17" spans="1:14" ht="21" x14ac:dyDescent="0.35">
      <c r="A17" s="120" t="s">
        <v>24</v>
      </c>
      <c r="B17" s="154">
        <v>11635.02</v>
      </c>
      <c r="C17" s="155">
        <v>-9451.0400000000009</v>
      </c>
      <c r="D17" s="156">
        <f>B17+C17</f>
        <v>2183.9799999999996</v>
      </c>
      <c r="H17" s="324" t="s">
        <v>477</v>
      </c>
      <c r="I17" s="327">
        <v>286.41999999999985</v>
      </c>
      <c r="J17" s="327">
        <f>+'Funds Analysis'!C32</f>
        <v>1501.46</v>
      </c>
      <c r="K17" s="327">
        <f>'Funds Analysis'!C111</f>
        <v>472</v>
      </c>
      <c r="L17" s="327">
        <f t="shared" si="0"/>
        <v>1315.8799999999999</v>
      </c>
      <c r="M17" s="319"/>
      <c r="N17" s="289"/>
    </row>
    <row r="18" spans="1:14" ht="21" x14ac:dyDescent="0.35">
      <c r="A18" s="120" t="s">
        <v>250</v>
      </c>
      <c r="B18" s="119"/>
      <c r="C18" s="119"/>
      <c r="D18" s="130">
        <v>0</v>
      </c>
      <c r="H18" s="324"/>
      <c r="I18" s="327"/>
      <c r="J18" s="327"/>
      <c r="K18" s="327"/>
      <c r="L18" s="327"/>
      <c r="M18" s="319"/>
    </row>
    <row r="19" spans="1:14" ht="21.75" thickBot="1" x14ac:dyDescent="0.4">
      <c r="A19" s="120" t="s">
        <v>251</v>
      </c>
      <c r="B19" s="123">
        <v>24002.62</v>
      </c>
      <c r="C19" s="124">
        <v>-21307.43</v>
      </c>
      <c r="D19" s="130">
        <f>B19+C19</f>
        <v>2695.1899999999987</v>
      </c>
      <c r="H19" s="320" t="s">
        <v>500</v>
      </c>
      <c r="I19" s="328">
        <f>SUM(I7:I17)</f>
        <v>28434.979999999996</v>
      </c>
      <c r="J19" s="328">
        <f t="shared" ref="J19:L19" si="2">SUM(J7:J17)</f>
        <v>9995.8299999999981</v>
      </c>
      <c r="K19" s="328">
        <f t="shared" si="2"/>
        <v>6877.8</v>
      </c>
      <c r="L19" s="328">
        <f t="shared" si="2"/>
        <v>31391.149999999994</v>
      </c>
      <c r="M19" s="319"/>
    </row>
    <row r="20" spans="1:14" ht="15.75" thickTop="1" x14ac:dyDescent="0.25">
      <c r="A20" s="243" t="s">
        <v>252</v>
      </c>
      <c r="B20" s="121">
        <f>B19</f>
        <v>24002.62</v>
      </c>
      <c r="C20" s="122">
        <f>C19</f>
        <v>-21307.43</v>
      </c>
      <c r="D20" s="138">
        <f>D19</f>
        <v>2695.1899999999987</v>
      </c>
      <c r="H20" s="277"/>
      <c r="I20" s="277"/>
      <c r="J20" s="277"/>
      <c r="K20" s="277"/>
      <c r="L20" s="277"/>
    </row>
    <row r="21" spans="1:14" hidden="1" x14ac:dyDescent="0.25">
      <c r="A21" s="120" t="s">
        <v>255</v>
      </c>
      <c r="B21" s="123">
        <v>3243.96</v>
      </c>
      <c r="C21" s="124">
        <v>-3243.96</v>
      </c>
      <c r="D21" s="130">
        <f t="shared" ref="D21:D27" si="3">B21+C21</f>
        <v>0</v>
      </c>
    </row>
    <row r="22" spans="1:14" hidden="1" x14ac:dyDescent="0.25">
      <c r="A22" s="120" t="s">
        <v>257</v>
      </c>
      <c r="B22" s="119"/>
      <c r="C22" s="119"/>
      <c r="D22" s="130">
        <f t="shared" si="3"/>
        <v>0</v>
      </c>
    </row>
    <row r="23" spans="1:14" hidden="1" x14ac:dyDescent="0.25">
      <c r="A23" s="120" t="s">
        <v>258</v>
      </c>
      <c r="B23" s="123">
        <v>11500</v>
      </c>
      <c r="C23" s="124">
        <v>-11500</v>
      </c>
      <c r="D23" s="130">
        <f t="shared" si="3"/>
        <v>0</v>
      </c>
    </row>
    <row r="24" spans="1:14" x14ac:dyDescent="0.25">
      <c r="A24" s="120" t="s">
        <v>414</v>
      </c>
      <c r="B24" s="225">
        <v>15548.86</v>
      </c>
      <c r="C24" s="226">
        <v>-15548.86</v>
      </c>
      <c r="D24" s="227">
        <f t="shared" si="3"/>
        <v>0</v>
      </c>
      <c r="J24" s="289"/>
    </row>
    <row r="25" spans="1:14" x14ac:dyDescent="0.25">
      <c r="A25" s="120" t="s">
        <v>477</v>
      </c>
      <c r="B25" s="225">
        <v>1294.81</v>
      </c>
      <c r="C25" s="226">
        <v>-971.5</v>
      </c>
      <c r="D25" s="227">
        <f t="shared" si="3"/>
        <v>323.30999999999995</v>
      </c>
    </row>
    <row r="26" spans="1:14" x14ac:dyDescent="0.25">
      <c r="A26" s="35" t="s">
        <v>458</v>
      </c>
      <c r="B26" s="225">
        <f>958+459.89</f>
        <v>1417.8899999999999</v>
      </c>
      <c r="C26" s="226">
        <v>-607.99</v>
      </c>
      <c r="D26" s="227">
        <f t="shared" si="3"/>
        <v>809.89999999999986</v>
      </c>
    </row>
    <row r="27" spans="1:14" x14ac:dyDescent="0.25">
      <c r="A27" s="35" t="s">
        <v>462</v>
      </c>
      <c r="B27" s="225">
        <v>1567.4</v>
      </c>
      <c r="C27" s="226">
        <v>-1669.97</v>
      </c>
      <c r="D27" s="227">
        <f t="shared" si="3"/>
        <v>-102.56999999999994</v>
      </c>
    </row>
    <row r="28" spans="1:14" x14ac:dyDescent="0.25">
      <c r="A28" s="35" t="s">
        <v>464</v>
      </c>
      <c r="B28" s="37">
        <v>1973.12</v>
      </c>
      <c r="C28" s="248">
        <v>-4304.45</v>
      </c>
      <c r="D28" s="152">
        <f>B28+C28</f>
        <v>-2331.33</v>
      </c>
    </row>
    <row r="29" spans="1:14" hidden="1" x14ac:dyDescent="0.25">
      <c r="A29" s="35" t="s">
        <v>472</v>
      </c>
      <c r="B29" s="37">
        <v>501</v>
      </c>
      <c r="C29" s="248">
        <v>-685.5</v>
      </c>
      <c r="D29" s="152">
        <f t="shared" ref="D29:D30" si="4">B29+C29</f>
        <v>-184.5</v>
      </c>
    </row>
    <row r="30" spans="1:14" x14ac:dyDescent="0.25">
      <c r="A30" s="35" t="s">
        <v>473</v>
      </c>
      <c r="B30" s="37">
        <v>12500</v>
      </c>
      <c r="C30" s="248">
        <v>0</v>
      </c>
      <c r="D30" s="152">
        <f t="shared" si="4"/>
        <v>12500</v>
      </c>
    </row>
    <row r="31" spans="1:14" x14ac:dyDescent="0.25">
      <c r="A31" s="120" t="s">
        <v>253</v>
      </c>
      <c r="B31" s="121" t="e">
        <f>B9+B10+B13+B16+B17+B20+B21+#REF!+#REF!+B24+B26+B27+B29+B28+B30+B25</f>
        <v>#REF!</v>
      </c>
      <c r="C31" s="121" t="e">
        <f>C9+C10+C13+C16+C17+C20+C21+#REF!+#REF!+C24+C26+C27+C29+C28+C30+C25</f>
        <v>#REF!</v>
      </c>
      <c r="D31" s="121" t="e">
        <f>D9+D10+D13+D16+D17+D20+D21+#REF!+#REF!+D24+D26+D27+D29+D28+D30+D25</f>
        <v>#REF!</v>
      </c>
    </row>
    <row r="32" spans="1:14" x14ac:dyDescent="0.25">
      <c r="A32" s="120"/>
      <c r="B32" s="119"/>
      <c r="C32" s="119"/>
      <c r="D32" s="119"/>
    </row>
    <row r="33" spans="1:9" x14ac:dyDescent="0.25">
      <c r="B33" s="131"/>
      <c r="C33" s="131"/>
      <c r="D33" s="131"/>
    </row>
    <row r="35" spans="1:9" x14ac:dyDescent="0.25">
      <c r="A35" s="300"/>
      <c r="B35" s="301"/>
      <c r="C35" s="301"/>
      <c r="D35" s="301"/>
    </row>
    <row r="36" spans="1:9" x14ac:dyDescent="0.25">
      <c r="H36" s="127"/>
      <c r="I36" s="127"/>
    </row>
    <row r="37" spans="1:9" x14ac:dyDescent="0.25">
      <c r="H37" s="127"/>
      <c r="I37" s="127"/>
    </row>
    <row r="38" spans="1:9" x14ac:dyDescent="0.25">
      <c r="H38" s="128" t="s">
        <v>42</v>
      </c>
      <c r="I38" s="127"/>
    </row>
    <row r="39" spans="1:9" x14ac:dyDescent="0.25">
      <c r="H39" s="128" t="s">
        <v>43</v>
      </c>
      <c r="I39" s="127"/>
    </row>
    <row r="40" spans="1:9" x14ac:dyDescent="0.25">
      <c r="H40" s="128" t="s">
        <v>44</v>
      </c>
      <c r="I40" s="127"/>
    </row>
    <row r="41" spans="1:9" x14ac:dyDescent="0.25">
      <c r="H41" s="127"/>
      <c r="I41" s="127"/>
    </row>
    <row r="42" spans="1:9" x14ac:dyDescent="0.25">
      <c r="H42" s="128" t="s">
        <v>45</v>
      </c>
      <c r="I42" s="127"/>
    </row>
    <row r="43" spans="1:9" x14ac:dyDescent="0.25">
      <c r="H43" s="129" t="s">
        <v>334</v>
      </c>
      <c r="I43" s="127"/>
    </row>
    <row r="44" spans="1:9" x14ac:dyDescent="0.25">
      <c r="H44" s="128" t="s">
        <v>46</v>
      </c>
      <c r="I44" s="127"/>
    </row>
    <row r="45" spans="1:9" x14ac:dyDescent="0.25">
      <c r="H45" s="128" t="s">
        <v>47</v>
      </c>
      <c r="I45" s="127"/>
    </row>
    <row r="46" spans="1:9" x14ac:dyDescent="0.25">
      <c r="H46" s="127"/>
      <c r="I46" s="127"/>
    </row>
    <row r="47" spans="1:9" x14ac:dyDescent="0.25">
      <c r="H47" s="127"/>
      <c r="I47" s="127"/>
    </row>
    <row r="48" spans="1:9" x14ac:dyDescent="0.25">
      <c r="H48" s="129" t="s">
        <v>24</v>
      </c>
      <c r="I48" s="127"/>
    </row>
    <row r="49" spans="8:9" x14ac:dyDescent="0.25">
      <c r="H49" s="127"/>
      <c r="I49" s="127"/>
    </row>
    <row r="50" spans="8:9" x14ac:dyDescent="0.25">
      <c r="H50" s="128" t="s">
        <v>190</v>
      </c>
      <c r="I50" s="128" t="s">
        <v>279</v>
      </c>
    </row>
    <row r="51" spans="8:9" x14ac:dyDescent="0.25">
      <c r="H51" s="127"/>
      <c r="I51" s="127"/>
    </row>
    <row r="52" spans="8:9" x14ac:dyDescent="0.25">
      <c r="H52" s="128" t="s">
        <v>263</v>
      </c>
      <c r="I52" s="127"/>
    </row>
    <row r="53" spans="8:9" x14ac:dyDescent="0.25">
      <c r="H53" s="127"/>
      <c r="I53" s="127"/>
    </row>
    <row r="54" spans="8:9" x14ac:dyDescent="0.25">
      <c r="H54" s="128" t="s">
        <v>264</v>
      </c>
      <c r="I54" s="127"/>
    </row>
    <row r="55" spans="8:9" x14ac:dyDescent="0.25">
      <c r="H55" s="128"/>
      <c r="I55" s="127"/>
    </row>
    <row r="56" spans="8:9" x14ac:dyDescent="0.25">
      <c r="H56" s="129" t="s">
        <v>453</v>
      </c>
      <c r="I56" s="127"/>
    </row>
    <row r="57" spans="8:9" x14ac:dyDescent="0.25">
      <c r="H57" s="128"/>
      <c r="I57" s="127"/>
    </row>
    <row r="58" spans="8:9" x14ac:dyDescent="0.25">
      <c r="H58" s="129" t="s">
        <v>456</v>
      </c>
      <c r="I58" s="127"/>
    </row>
    <row r="59" spans="8:9" x14ac:dyDescent="0.25">
      <c r="H59" s="128"/>
      <c r="I59" s="127"/>
    </row>
    <row r="60" spans="8:9" x14ac:dyDescent="0.25">
      <c r="H60" s="127" t="s">
        <v>414</v>
      </c>
      <c r="I60" s="127"/>
    </row>
    <row r="61" spans="8:9" x14ac:dyDescent="0.25">
      <c r="H61" s="127"/>
      <c r="I61" s="127"/>
    </row>
    <row r="62" spans="8:9" x14ac:dyDescent="0.25">
      <c r="H62" s="127" t="s">
        <v>463</v>
      </c>
      <c r="I62" s="127"/>
    </row>
    <row r="63" spans="8:9" x14ac:dyDescent="0.25">
      <c r="H63" s="127"/>
      <c r="I63" s="127"/>
    </row>
    <row r="64" spans="8:9" x14ac:dyDescent="0.25">
      <c r="H64" s="128" t="s">
        <v>49</v>
      </c>
      <c r="I64" s="127"/>
    </row>
  </sheetData>
  <mergeCells count="4">
    <mergeCell ref="A35:D35"/>
    <mergeCell ref="A1:D1"/>
    <mergeCell ref="A2:D2"/>
    <mergeCell ref="A3:D3"/>
  </mergeCells>
  <pageMargins left="0.7" right="0.7" top="0.75" bottom="0.75" header="0.3" footer="0.3"/>
  <pageSetup paperSize="9" scale="35" orientation="landscape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workbookViewId="0">
      <selection activeCell="B18" sqref="B18"/>
    </sheetView>
  </sheetViews>
  <sheetFormatPr defaultColWidth="9.140625" defaultRowHeight="15" x14ac:dyDescent="0.25"/>
  <cols>
    <col min="1" max="1" width="48.140625" style="101" customWidth="1"/>
    <col min="2" max="4" width="22.28515625" style="101" customWidth="1"/>
    <col min="5" max="16384" width="9.140625" style="101"/>
  </cols>
  <sheetData>
    <row r="1" spans="1:4" ht="18" x14ac:dyDescent="0.25">
      <c r="A1" s="302" t="s">
        <v>0</v>
      </c>
      <c r="B1" s="301"/>
      <c r="C1" s="301"/>
      <c r="D1" s="301"/>
    </row>
    <row r="2" spans="1:4" ht="18" x14ac:dyDescent="0.25">
      <c r="A2" s="302" t="s">
        <v>241</v>
      </c>
      <c r="B2" s="301"/>
      <c r="C2" s="301"/>
      <c r="D2" s="301"/>
    </row>
    <row r="3" spans="1:4" x14ac:dyDescent="0.25">
      <c r="A3" s="303" t="s">
        <v>343</v>
      </c>
      <c r="B3" s="301"/>
      <c r="C3" s="301"/>
      <c r="D3" s="301"/>
    </row>
    <row r="5" spans="1:4" x14ac:dyDescent="0.25">
      <c r="A5" s="126"/>
      <c r="B5" s="125" t="s">
        <v>60</v>
      </c>
      <c r="C5" s="125" t="s">
        <v>79</v>
      </c>
      <c r="D5" s="125" t="s">
        <v>126</v>
      </c>
    </row>
    <row r="6" spans="1:4" x14ac:dyDescent="0.25">
      <c r="A6" s="120" t="s">
        <v>2</v>
      </c>
      <c r="B6" s="119"/>
      <c r="C6" s="119"/>
      <c r="D6" s="123">
        <f t="shared" ref="D6:D22" si="0">(B6)+(C6)</f>
        <v>0</v>
      </c>
    </row>
    <row r="7" spans="1:4" x14ac:dyDescent="0.25">
      <c r="A7" s="120" t="s">
        <v>242</v>
      </c>
      <c r="B7" s="119"/>
      <c r="C7" s="119"/>
      <c r="D7" s="123">
        <f t="shared" si="0"/>
        <v>0</v>
      </c>
    </row>
    <row r="8" spans="1:4" x14ac:dyDescent="0.25">
      <c r="A8" s="120" t="s">
        <v>243</v>
      </c>
      <c r="B8" s="119"/>
      <c r="C8" s="123">
        <f>0</f>
        <v>0</v>
      </c>
      <c r="D8" s="123">
        <f t="shared" si="0"/>
        <v>0</v>
      </c>
    </row>
    <row r="9" spans="1:4" x14ac:dyDescent="0.25">
      <c r="A9" s="120" t="s">
        <v>244</v>
      </c>
      <c r="B9" s="121">
        <f>(B7)+(B8)</f>
        <v>0</v>
      </c>
      <c r="C9" s="121">
        <f>(C7)+(C8)</f>
        <v>0</v>
      </c>
      <c r="D9" s="121">
        <f t="shared" si="0"/>
        <v>0</v>
      </c>
    </row>
    <row r="10" spans="1:4" x14ac:dyDescent="0.25">
      <c r="A10" s="120" t="s">
        <v>245</v>
      </c>
      <c r="B10" s="119"/>
      <c r="C10" s="124">
        <v>0</v>
      </c>
      <c r="D10" s="124">
        <f t="shared" si="0"/>
        <v>0</v>
      </c>
    </row>
    <row r="11" spans="1:4" x14ac:dyDescent="0.25">
      <c r="A11" s="120" t="s">
        <v>246</v>
      </c>
      <c r="B11" s="119"/>
      <c r="C11" s="119"/>
      <c r="D11" s="123">
        <f t="shared" si="0"/>
        <v>0</v>
      </c>
    </row>
    <row r="12" spans="1:4" x14ac:dyDescent="0.25">
      <c r="A12" s="120" t="s">
        <v>274</v>
      </c>
      <c r="B12" s="119"/>
      <c r="C12" s="124">
        <v>-180</v>
      </c>
      <c r="D12" s="124">
        <f t="shared" si="0"/>
        <v>-180</v>
      </c>
    </row>
    <row r="13" spans="1:4" x14ac:dyDescent="0.25">
      <c r="A13" s="120" t="s">
        <v>275</v>
      </c>
      <c r="B13" s="121">
        <f>(B11)+(B12)</f>
        <v>0</v>
      </c>
      <c r="C13" s="122">
        <f>(C11)+(C12)</f>
        <v>-180</v>
      </c>
      <c r="D13" s="122">
        <f t="shared" si="0"/>
        <v>-180</v>
      </c>
    </row>
    <row r="14" spans="1:4" x14ac:dyDescent="0.25">
      <c r="A14" s="120" t="s">
        <v>247</v>
      </c>
      <c r="B14" s="119"/>
      <c r="C14" s="119"/>
      <c r="D14" s="123">
        <f t="shared" si="0"/>
        <v>0</v>
      </c>
    </row>
    <row r="15" spans="1:4" x14ac:dyDescent="0.25">
      <c r="A15" s="120" t="s">
        <v>254</v>
      </c>
      <c r="B15" s="119"/>
      <c r="C15" s="124">
        <v>-1740.75</v>
      </c>
      <c r="D15" s="124">
        <f t="shared" si="0"/>
        <v>-1740.75</v>
      </c>
    </row>
    <row r="16" spans="1:4" x14ac:dyDescent="0.25">
      <c r="A16" s="120" t="s">
        <v>249</v>
      </c>
      <c r="B16" s="121">
        <f>(B14)+(B15)</f>
        <v>0</v>
      </c>
      <c r="C16" s="122">
        <f>(C14)+(C15)</f>
        <v>-1740.75</v>
      </c>
      <c r="D16" s="122">
        <f t="shared" si="0"/>
        <v>-1740.75</v>
      </c>
    </row>
    <row r="17" spans="1:4" x14ac:dyDescent="0.25">
      <c r="A17" s="120" t="s">
        <v>250</v>
      </c>
      <c r="B17" s="119"/>
      <c r="C17" s="119"/>
      <c r="D17" s="123">
        <f t="shared" si="0"/>
        <v>0</v>
      </c>
    </row>
    <row r="18" spans="1:4" x14ac:dyDescent="0.25">
      <c r="A18" s="120" t="s">
        <v>251</v>
      </c>
      <c r="B18" s="123">
        <v>3243.6</v>
      </c>
      <c r="C18" s="124">
        <v>-899.46</v>
      </c>
      <c r="D18" s="123">
        <f>(B18)+(C18)</f>
        <v>2344.14</v>
      </c>
    </row>
    <row r="19" spans="1:4" x14ac:dyDescent="0.25">
      <c r="A19" s="120" t="s">
        <v>252</v>
      </c>
      <c r="B19" s="121">
        <f>(B17)+(B18)</f>
        <v>3243.6</v>
      </c>
      <c r="C19" s="122">
        <f>(C17)+(C18)</f>
        <v>-899.46</v>
      </c>
      <c r="D19" s="121">
        <f t="shared" si="0"/>
        <v>2344.14</v>
      </c>
    </row>
    <row r="20" spans="1:4" x14ac:dyDescent="0.25">
      <c r="A20" s="120" t="s">
        <v>333</v>
      </c>
      <c r="B20" s="123">
        <v>3250</v>
      </c>
      <c r="C20" s="124">
        <v>-978.96</v>
      </c>
      <c r="D20" s="123">
        <f t="shared" si="0"/>
        <v>2271.04</v>
      </c>
    </row>
    <row r="21" spans="1:4" x14ac:dyDescent="0.25">
      <c r="A21" s="120" t="s">
        <v>253</v>
      </c>
      <c r="B21" s="121">
        <f>((((((B6)+(B9))+(B10))+(B13))+(B16))+(B19))+(B20)</f>
        <v>6493.6</v>
      </c>
      <c r="C21" s="122">
        <f>((((((C6)+(C9))+(C10))+(C13))+(C16))+(C19))+(C20)</f>
        <v>-3799.17</v>
      </c>
      <c r="D21" s="121">
        <f t="shared" si="0"/>
        <v>2694.4300000000003</v>
      </c>
    </row>
    <row r="22" spans="1:4" x14ac:dyDescent="0.25">
      <c r="A22" s="120" t="s">
        <v>59</v>
      </c>
      <c r="B22" s="121">
        <f>B21</f>
        <v>6493.6</v>
      </c>
      <c r="C22" s="122">
        <f>C21</f>
        <v>-3799.17</v>
      </c>
      <c r="D22" s="121">
        <f t="shared" si="0"/>
        <v>2694.4300000000003</v>
      </c>
    </row>
    <row r="23" spans="1:4" x14ac:dyDescent="0.25">
      <c r="A23" s="120"/>
      <c r="B23" s="119"/>
      <c r="C23" s="119"/>
      <c r="D23" s="119"/>
    </row>
    <row r="26" spans="1:4" x14ac:dyDescent="0.25">
      <c r="A26" s="300"/>
      <c r="B26" s="301"/>
      <c r="C26" s="301"/>
      <c r="D26" s="301"/>
    </row>
  </sheetData>
  <mergeCells count="4">
    <mergeCell ref="A26:D26"/>
    <mergeCell ref="A1:D1"/>
    <mergeCell ref="A2:D2"/>
    <mergeCell ref="A3:D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B64"/>
  <sheetViews>
    <sheetView topLeftCell="A22" workbookViewId="0">
      <selection activeCell="A4" sqref="A4"/>
    </sheetView>
  </sheetViews>
  <sheetFormatPr defaultColWidth="9.140625" defaultRowHeight="15.75" customHeight="1" x14ac:dyDescent="0.25"/>
  <cols>
    <col min="1" max="1" width="45.5703125" style="101" customWidth="1"/>
    <col min="2" max="2" width="17.140625" style="101" customWidth="1"/>
    <col min="3" max="16384" width="9.140625" style="101"/>
  </cols>
  <sheetData>
    <row r="1" spans="1:2" customFormat="1" ht="15.75" customHeight="1" x14ac:dyDescent="0.25">
      <c r="A1" s="304" t="s">
        <v>0</v>
      </c>
      <c r="B1" s="298"/>
    </row>
    <row r="2" spans="1:2" customFormat="1" ht="15.75" customHeight="1" x14ac:dyDescent="0.25">
      <c r="A2" s="304" t="s">
        <v>127</v>
      </c>
      <c r="B2" s="298"/>
    </row>
    <row r="3" spans="1:2" customFormat="1" ht="15.75" customHeight="1" x14ac:dyDescent="0.2">
      <c r="A3" s="305">
        <v>45138</v>
      </c>
      <c r="B3" s="298"/>
    </row>
    <row r="4" spans="1:2" customFormat="1" ht="15.75" customHeight="1" x14ac:dyDescent="0.2"/>
    <row r="5" spans="1:2" customFormat="1" ht="15.75" customHeight="1" x14ac:dyDescent="0.2">
      <c r="A5" s="17"/>
      <c r="B5" s="117" t="s">
        <v>324</v>
      </c>
    </row>
    <row r="6" spans="1:2" customFormat="1" ht="15.75" customHeight="1" x14ac:dyDescent="0.2">
      <c r="A6" s="35" t="s">
        <v>323</v>
      </c>
      <c r="B6" s="36"/>
    </row>
    <row r="7" spans="1:2" customFormat="1" ht="15.75" customHeight="1" x14ac:dyDescent="0.2">
      <c r="A7" s="35" t="s">
        <v>322</v>
      </c>
      <c r="B7" s="36"/>
    </row>
    <row r="8" spans="1:2" customFormat="1" ht="15.75" customHeight="1" x14ac:dyDescent="0.2">
      <c r="A8" s="219" t="s">
        <v>431</v>
      </c>
      <c r="B8" s="37">
        <f>0</f>
        <v>0</v>
      </c>
    </row>
    <row r="9" spans="1:2" customFormat="1" ht="15.75" customHeight="1" x14ac:dyDescent="0.2">
      <c r="A9" s="35" t="s">
        <v>321</v>
      </c>
      <c r="B9" s="37">
        <f>9082.8</f>
        <v>9082.7999999999993</v>
      </c>
    </row>
    <row r="10" spans="1:2" customFormat="1" ht="15.75" customHeight="1" x14ac:dyDescent="0.2">
      <c r="A10" s="35" t="s">
        <v>320</v>
      </c>
      <c r="B10" s="37">
        <f>12933.31</f>
        <v>12933.31</v>
      </c>
    </row>
    <row r="11" spans="1:2" customFormat="1" ht="15.75" customHeight="1" x14ac:dyDescent="0.2">
      <c r="A11" s="35" t="s">
        <v>359</v>
      </c>
      <c r="B11" s="37">
        <f>3032.5</f>
        <v>3032.5</v>
      </c>
    </row>
    <row r="12" spans="1:2" customFormat="1" ht="15.75" customHeight="1" x14ac:dyDescent="0.2">
      <c r="A12" s="35" t="s">
        <v>319</v>
      </c>
      <c r="B12" s="37">
        <f>12935.6</f>
        <v>12935.6</v>
      </c>
    </row>
    <row r="13" spans="1:2" customFormat="1" ht="15.75" customHeight="1" x14ac:dyDescent="0.2">
      <c r="A13" s="35" t="s">
        <v>360</v>
      </c>
      <c r="B13" s="37">
        <f>530</f>
        <v>530</v>
      </c>
    </row>
    <row r="14" spans="1:2" customFormat="1" ht="15.75" customHeight="1" x14ac:dyDescent="0.2">
      <c r="A14" s="35" t="s">
        <v>318</v>
      </c>
      <c r="B14" s="37">
        <f>-20153.11</f>
        <v>-20153.11</v>
      </c>
    </row>
    <row r="15" spans="1:2" customFormat="1" ht="15.75" customHeight="1" x14ac:dyDescent="0.2">
      <c r="A15" s="35" t="s">
        <v>317</v>
      </c>
      <c r="B15" s="37">
        <f>-13215</f>
        <v>-13215</v>
      </c>
    </row>
    <row r="16" spans="1:2" customFormat="1" ht="15.75" customHeight="1" x14ac:dyDescent="0.2">
      <c r="A16" s="35" t="s">
        <v>316</v>
      </c>
      <c r="B16" s="164">
        <f>(((((((B8)+(B9))+(B10))+(B11))+(B12))+(B13))+(B14))+(B15)</f>
        <v>5146.0999999999985</v>
      </c>
    </row>
    <row r="17" spans="1:2" customFormat="1" ht="15.75" customHeight="1" x14ac:dyDescent="0.2">
      <c r="A17" s="35" t="s">
        <v>315</v>
      </c>
      <c r="B17" s="164">
        <f>B16</f>
        <v>5146.0999999999985</v>
      </c>
    </row>
    <row r="18" spans="1:2" customFormat="1" ht="15.75" customHeight="1" x14ac:dyDescent="0.2">
      <c r="A18" s="35" t="s">
        <v>314</v>
      </c>
      <c r="B18" s="36"/>
    </row>
    <row r="19" spans="1:2" customFormat="1" ht="15.75" customHeight="1" x14ac:dyDescent="0.2">
      <c r="A19" s="35" t="s">
        <v>313</v>
      </c>
      <c r="B19" s="36"/>
    </row>
    <row r="20" spans="1:2" customFormat="1" ht="15.75" customHeight="1" x14ac:dyDescent="0.2">
      <c r="A20" s="35" t="s">
        <v>312</v>
      </c>
      <c r="B20" s="37">
        <f>2869.88</f>
        <v>2869.88</v>
      </c>
    </row>
    <row r="21" spans="1:2" customFormat="1" ht="15.75" customHeight="1" x14ac:dyDescent="0.2">
      <c r="A21" s="35" t="s">
        <v>311</v>
      </c>
      <c r="B21" s="37">
        <f>738.63</f>
        <v>738.63</v>
      </c>
    </row>
    <row r="22" spans="1:2" customFormat="1" ht="15.75" customHeight="1" x14ac:dyDescent="0.2">
      <c r="A22" s="35" t="s">
        <v>310</v>
      </c>
      <c r="B22" s="37">
        <f>40674.98</f>
        <v>40674.980000000003</v>
      </c>
    </row>
    <row r="23" spans="1:2" customFormat="1" ht="15.75" customHeight="1" x14ac:dyDescent="0.2">
      <c r="A23" s="35" t="s">
        <v>309</v>
      </c>
      <c r="B23" s="37">
        <f>25.17</f>
        <v>25.17</v>
      </c>
    </row>
    <row r="24" spans="1:2" customFormat="1" ht="15.75" customHeight="1" x14ac:dyDescent="0.2">
      <c r="A24" s="35" t="s">
        <v>308</v>
      </c>
      <c r="B24" s="256">
        <f>((((B19)+(B20))+(B21))+(B22))+(B23)</f>
        <v>44308.66</v>
      </c>
    </row>
    <row r="25" spans="1:2" customFormat="1" ht="15.75" customHeight="1" x14ac:dyDescent="0.2">
      <c r="A25" s="35" t="s">
        <v>307</v>
      </c>
      <c r="B25" s="256">
        <f>B24</f>
        <v>44308.66</v>
      </c>
    </row>
    <row r="26" spans="1:2" customFormat="1" ht="15.75" customHeight="1" x14ac:dyDescent="0.2">
      <c r="A26" s="35" t="s">
        <v>306</v>
      </c>
      <c r="B26" s="254"/>
    </row>
    <row r="27" spans="1:2" customFormat="1" ht="15.75" customHeight="1" x14ac:dyDescent="0.2">
      <c r="A27" s="35" t="s">
        <v>305</v>
      </c>
      <c r="B27" s="37">
        <f>4897.01</f>
        <v>4897.01</v>
      </c>
    </row>
    <row r="28" spans="1:2" customFormat="1" ht="15.75" customHeight="1" x14ac:dyDescent="0.2">
      <c r="A28" s="35" t="s">
        <v>304</v>
      </c>
      <c r="B28" s="255">
        <f>0</f>
        <v>0</v>
      </c>
    </row>
    <row r="29" spans="1:2" customFormat="1" ht="15.75" customHeight="1" x14ac:dyDescent="0.2">
      <c r="A29" s="35" t="s">
        <v>303</v>
      </c>
      <c r="B29" s="256">
        <f>(B27)+(B28)</f>
        <v>4897.01</v>
      </c>
    </row>
    <row r="30" spans="1:2" customFormat="1" ht="15.75" customHeight="1" x14ac:dyDescent="0.2">
      <c r="A30" s="35" t="s">
        <v>302</v>
      </c>
      <c r="B30" s="255">
        <f>0</f>
        <v>0</v>
      </c>
    </row>
    <row r="31" spans="1:2" customFormat="1" ht="15.75" customHeight="1" x14ac:dyDescent="0.2">
      <c r="A31" s="35" t="s">
        <v>357</v>
      </c>
      <c r="B31" s="255">
        <f>135.09</f>
        <v>135.09</v>
      </c>
    </row>
    <row r="32" spans="1:2" customFormat="1" ht="15.75" customHeight="1" x14ac:dyDescent="0.2">
      <c r="A32" s="35" t="s">
        <v>301</v>
      </c>
      <c r="B32" s="256">
        <f>((B29)+(B30))+(B31)</f>
        <v>5032.1000000000004</v>
      </c>
    </row>
    <row r="33" spans="1:2" customFormat="1" ht="15.75" customHeight="1" x14ac:dyDescent="0.2">
      <c r="A33" s="35" t="s">
        <v>300</v>
      </c>
      <c r="B33" s="36"/>
    </row>
    <row r="34" spans="1:2" customFormat="1" ht="15.75" customHeight="1" x14ac:dyDescent="0.2">
      <c r="A34" s="35" t="s">
        <v>299</v>
      </c>
      <c r="B34" s="37">
        <v>0</v>
      </c>
    </row>
    <row r="35" spans="1:2" customFormat="1" ht="15.75" customHeight="1" x14ac:dyDescent="0.2">
      <c r="A35" s="35" t="s">
        <v>298</v>
      </c>
      <c r="B35" s="37">
        <f>1555</f>
        <v>1555</v>
      </c>
    </row>
    <row r="36" spans="1:2" customFormat="1" ht="15.75" customHeight="1" x14ac:dyDescent="0.2">
      <c r="A36" s="35" t="s">
        <v>297</v>
      </c>
      <c r="B36" s="37">
        <v>0</v>
      </c>
    </row>
    <row r="37" spans="1:2" customFormat="1" ht="15.75" customHeight="1" x14ac:dyDescent="0.2">
      <c r="A37" s="35" t="s">
        <v>296</v>
      </c>
      <c r="B37" s="37">
        <v>0.3</v>
      </c>
    </row>
    <row r="38" spans="1:2" customFormat="1" ht="15.75" customHeight="1" x14ac:dyDescent="0.2">
      <c r="A38" s="35" t="s">
        <v>11</v>
      </c>
      <c r="B38" s="164">
        <f>SUM(B34:B37)</f>
        <v>1555.3</v>
      </c>
    </row>
    <row r="39" spans="1:2" customFormat="1" ht="15.75" customHeight="1" x14ac:dyDescent="0.2">
      <c r="A39" s="35" t="s">
        <v>295</v>
      </c>
      <c r="B39" s="164">
        <f>((B25)+(B32))+(B38)</f>
        <v>50896.060000000005</v>
      </c>
    </row>
    <row r="40" spans="1:2" customFormat="1" ht="15.75" customHeight="1" x14ac:dyDescent="0.2">
      <c r="A40" s="35" t="s">
        <v>294</v>
      </c>
      <c r="B40" s="36"/>
    </row>
    <row r="41" spans="1:2" customFormat="1" ht="15.75" customHeight="1" x14ac:dyDescent="0.2">
      <c r="A41" s="35" t="s">
        <v>293</v>
      </c>
      <c r="B41" s="36"/>
    </row>
    <row r="42" spans="1:2" customFormat="1" ht="15.75" customHeight="1" x14ac:dyDescent="0.2">
      <c r="A42" s="35" t="s">
        <v>292</v>
      </c>
      <c r="B42" s="37">
        <f>1487.64</f>
        <v>1487.64</v>
      </c>
    </row>
    <row r="43" spans="1:2" customFormat="1" ht="15.75" customHeight="1" x14ac:dyDescent="0.2">
      <c r="A43" s="35" t="s">
        <v>291</v>
      </c>
      <c r="B43" s="164">
        <f>B42</f>
        <v>1487.64</v>
      </c>
    </row>
    <row r="44" spans="1:2" customFormat="1" ht="15.75" customHeight="1" x14ac:dyDescent="0.2">
      <c r="A44" s="35" t="s">
        <v>290</v>
      </c>
      <c r="B44" s="36"/>
    </row>
    <row r="45" spans="1:2" customFormat="1" ht="15.75" customHeight="1" x14ac:dyDescent="0.2">
      <c r="A45" s="35" t="s">
        <v>289</v>
      </c>
      <c r="B45" s="37">
        <f>2332.51</f>
        <v>2332.5100000000002</v>
      </c>
    </row>
    <row r="46" spans="1:2" customFormat="1" ht="15.75" customHeight="1" x14ac:dyDescent="0.2">
      <c r="A46" s="35" t="s">
        <v>288</v>
      </c>
      <c r="B46" s="37">
        <f>13642.46</f>
        <v>13642.46</v>
      </c>
    </row>
    <row r="47" spans="1:2" customFormat="1" ht="15.75" customHeight="1" x14ac:dyDescent="0.2">
      <c r="A47" s="35" t="s">
        <v>287</v>
      </c>
      <c r="B47" s="255">
        <f>0</f>
        <v>0</v>
      </c>
    </row>
    <row r="48" spans="1:2" customFormat="1" ht="15.75" customHeight="1" x14ac:dyDescent="0.2">
      <c r="A48" s="35" t="s">
        <v>286</v>
      </c>
      <c r="B48" s="164">
        <f>((B45)+(B46))+(B47)</f>
        <v>15974.97</v>
      </c>
    </row>
    <row r="49" spans="1:2" customFormat="1" ht="15.75" customHeight="1" x14ac:dyDescent="0.2">
      <c r="A49" s="35" t="s">
        <v>285</v>
      </c>
      <c r="B49" s="164">
        <f>(B43)+(B48)</f>
        <v>17462.61</v>
      </c>
    </row>
    <row r="50" spans="1:2" customFormat="1" ht="15.75" customHeight="1" x14ac:dyDescent="0.2">
      <c r="A50" s="35" t="s">
        <v>284</v>
      </c>
      <c r="B50" s="164">
        <f>((B39)+(0))-(B49)</f>
        <v>33433.450000000004</v>
      </c>
    </row>
    <row r="51" spans="1:2" customFormat="1" ht="15.75" customHeight="1" x14ac:dyDescent="0.2">
      <c r="A51" s="35" t="s">
        <v>283</v>
      </c>
      <c r="B51" s="164">
        <f>B50+B16</f>
        <v>38579.550000000003</v>
      </c>
    </row>
    <row r="52" spans="1:2" customFormat="1" ht="15.75" customHeight="1" x14ac:dyDescent="0.2">
      <c r="A52" s="35" t="s">
        <v>171</v>
      </c>
      <c r="B52" s="164">
        <f>(((B51)-(0))-(0))-(0)</f>
        <v>38579.550000000003</v>
      </c>
    </row>
    <row r="53" spans="1:2" customFormat="1" ht="15.75" customHeight="1" x14ac:dyDescent="0.2">
      <c r="A53" s="35" t="s">
        <v>172</v>
      </c>
      <c r="B53" s="36"/>
    </row>
    <row r="54" spans="1:2" customFormat="1" ht="15.75" customHeight="1" x14ac:dyDescent="0.2">
      <c r="A54" s="35" t="s">
        <v>173</v>
      </c>
      <c r="B54" s="37">
        <f>49620.39</f>
        <v>49620.39</v>
      </c>
    </row>
    <row r="55" spans="1:2" customFormat="1" ht="15.75" customHeight="1" x14ac:dyDescent="0.2">
      <c r="A55" s="35" t="s">
        <v>174</v>
      </c>
      <c r="B55" s="37">
        <f>-11040.84</f>
        <v>-11040.84</v>
      </c>
    </row>
    <row r="56" spans="1:2" customFormat="1" ht="15.75" customHeight="1" x14ac:dyDescent="0.2">
      <c r="A56" s="35" t="s">
        <v>175</v>
      </c>
      <c r="B56" s="164">
        <f>(B54)+(B55)</f>
        <v>38579.550000000003</v>
      </c>
    </row>
    <row r="57" spans="1:2" customFormat="1" ht="15.75" customHeight="1" x14ac:dyDescent="0.2">
      <c r="A57" s="35"/>
      <c r="B57" s="36"/>
    </row>
    <row r="58" spans="1:2" customFormat="1" ht="15.75" customHeight="1" x14ac:dyDescent="0.2"/>
    <row r="59" spans="1:2" customFormat="1" ht="15.75" customHeight="1" x14ac:dyDescent="0.2"/>
    <row r="60" spans="1:2" customFormat="1" ht="15.75" customHeight="1" x14ac:dyDescent="0.2">
      <c r="A60" s="306" t="s">
        <v>361</v>
      </c>
      <c r="B60" s="298"/>
    </row>
    <row r="61" spans="1:2" customFormat="1" ht="15.75" customHeight="1" x14ac:dyDescent="0.2"/>
    <row r="62" spans="1:2" customFormat="1" ht="15.75" customHeight="1" x14ac:dyDescent="0.2"/>
    <row r="63" spans="1:2" customFormat="1" ht="15.75" customHeight="1" x14ac:dyDescent="0.2"/>
    <row r="64" spans="1:2" customFormat="1" ht="15.75" customHeight="1" x14ac:dyDescent="0.2"/>
  </sheetData>
  <mergeCells count="4">
    <mergeCell ref="A1:B1"/>
    <mergeCell ref="A2:B2"/>
    <mergeCell ref="A3:B3"/>
    <mergeCell ref="A60:B6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4"/>
  <sheetViews>
    <sheetView workbookViewId="0">
      <selection activeCell="D37" sqref="D37"/>
    </sheetView>
  </sheetViews>
  <sheetFormatPr defaultRowHeight="12.75" x14ac:dyDescent="0.2"/>
  <cols>
    <col min="1" max="1" width="44.7109375" customWidth="1"/>
    <col min="2" max="2" width="19.140625" customWidth="1"/>
    <col min="3" max="3" width="4" customWidth="1"/>
    <col min="4" max="4" width="10.85546875" customWidth="1"/>
    <col min="5" max="5" width="10.5703125" customWidth="1"/>
    <col min="6" max="7" width="11.5703125" customWidth="1"/>
    <col min="8" max="8" width="11.7109375" customWidth="1"/>
    <col min="9" max="9" width="4.28515625" customWidth="1"/>
    <col min="10" max="10" width="13.42578125" customWidth="1"/>
    <col min="14" max="14" width="45" customWidth="1"/>
    <col min="15" max="15" width="18.85546875" customWidth="1"/>
  </cols>
  <sheetData>
    <row r="1" spans="1:10" x14ac:dyDescent="0.2">
      <c r="A1" s="308" t="s">
        <v>0</v>
      </c>
      <c r="B1" s="308"/>
    </row>
    <row r="2" spans="1:10" x14ac:dyDescent="0.2">
      <c r="A2" s="308" t="s">
        <v>127</v>
      </c>
      <c r="B2" s="308"/>
    </row>
    <row r="3" spans="1:10" x14ac:dyDescent="0.2">
      <c r="A3" s="308" t="s">
        <v>278</v>
      </c>
      <c r="B3" s="308"/>
    </row>
    <row r="4" spans="1:10" x14ac:dyDescent="0.2">
      <c r="B4" s="19" t="s">
        <v>128</v>
      </c>
      <c r="D4" s="309" t="s">
        <v>129</v>
      </c>
      <c r="E4" s="309"/>
      <c r="F4" s="309"/>
      <c r="G4" s="1"/>
      <c r="H4" s="1"/>
    </row>
    <row r="5" spans="1:10" x14ac:dyDescent="0.2">
      <c r="A5" s="17"/>
      <c r="B5" s="20" t="s">
        <v>130</v>
      </c>
      <c r="D5" t="s">
        <v>48</v>
      </c>
      <c r="F5" t="s">
        <v>131</v>
      </c>
      <c r="G5" t="s">
        <v>185</v>
      </c>
      <c r="H5" t="s">
        <v>132</v>
      </c>
      <c r="J5" s="21" t="s">
        <v>133</v>
      </c>
    </row>
    <row r="6" spans="1:10" ht="25.5" x14ac:dyDescent="0.2">
      <c r="A6" s="22" t="s">
        <v>134</v>
      </c>
      <c r="B6" s="23"/>
      <c r="D6" s="24" t="s">
        <v>135</v>
      </c>
      <c r="E6" s="24"/>
      <c r="F6" s="24" t="s">
        <v>136</v>
      </c>
      <c r="G6" s="24" t="s">
        <v>186</v>
      </c>
      <c r="H6" s="24" t="s">
        <v>136</v>
      </c>
    </row>
    <row r="7" spans="1:10" x14ac:dyDescent="0.2">
      <c r="A7" s="22" t="s">
        <v>137</v>
      </c>
      <c r="B7" s="25"/>
      <c r="C7" s="26"/>
      <c r="D7" s="26"/>
      <c r="E7" s="26"/>
      <c r="F7" s="26"/>
      <c r="G7" s="26"/>
      <c r="H7" s="26"/>
      <c r="I7" s="26"/>
      <c r="J7" s="26"/>
    </row>
    <row r="8" spans="1:10" x14ac:dyDescent="0.2">
      <c r="A8" s="22" t="s">
        <v>138</v>
      </c>
      <c r="B8" s="25"/>
      <c r="C8" s="26"/>
      <c r="D8" s="26"/>
      <c r="E8" s="26"/>
      <c r="F8" s="26"/>
      <c r="G8" s="26"/>
      <c r="H8" s="26"/>
      <c r="I8" s="26"/>
      <c r="J8" s="26"/>
    </row>
    <row r="9" spans="1:10" x14ac:dyDescent="0.2">
      <c r="A9" s="22" t="s">
        <v>139</v>
      </c>
      <c r="B9" s="25">
        <f>9287.1+8946.33+11810</f>
        <v>30043.43</v>
      </c>
      <c r="C9" s="26"/>
      <c r="D9" s="26"/>
      <c r="E9" s="26"/>
      <c r="F9" s="26"/>
      <c r="G9" s="26"/>
      <c r="H9" s="26"/>
      <c r="I9" s="26"/>
      <c r="J9" s="26">
        <f>SUM(B9:I9)</f>
        <v>30043.43</v>
      </c>
    </row>
    <row r="10" spans="1:10" x14ac:dyDescent="0.2">
      <c r="A10" s="22" t="s">
        <v>140</v>
      </c>
      <c r="B10" s="25">
        <f>-4202.46-11810</f>
        <v>-16012.46</v>
      </c>
      <c r="C10" s="26"/>
      <c r="D10" s="26"/>
      <c r="E10" s="26"/>
      <c r="F10" s="26"/>
      <c r="G10" s="26"/>
      <c r="H10" s="26">
        <v>0</v>
      </c>
      <c r="I10" s="26"/>
      <c r="J10" s="26">
        <f>SUM(B10:I10)</f>
        <v>-16012.46</v>
      </c>
    </row>
    <row r="11" spans="1:10" x14ac:dyDescent="0.2">
      <c r="A11" s="22" t="s">
        <v>141</v>
      </c>
      <c r="B11" s="25">
        <f>SUM(B8:B10)</f>
        <v>14030.970000000001</v>
      </c>
      <c r="C11" s="26"/>
      <c r="D11" s="26">
        <f>D9-D10</f>
        <v>0</v>
      </c>
      <c r="E11" s="26">
        <f>E9-E10</f>
        <v>0</v>
      </c>
      <c r="F11" s="26">
        <f>F9-F10</f>
        <v>0</v>
      </c>
      <c r="G11" s="26"/>
      <c r="H11" s="26">
        <f>H9-H10</f>
        <v>0</v>
      </c>
      <c r="I11" s="26"/>
      <c r="J11" s="26">
        <f>J9+J10</f>
        <v>14030.970000000001</v>
      </c>
    </row>
    <row r="12" spans="1:10" x14ac:dyDescent="0.2">
      <c r="A12" s="22"/>
      <c r="B12" s="25"/>
      <c r="C12" s="26"/>
      <c r="D12" s="26"/>
      <c r="E12" s="26"/>
      <c r="F12" s="26"/>
      <c r="G12" s="26"/>
      <c r="H12" s="26"/>
      <c r="I12" s="26"/>
      <c r="J12" s="26"/>
    </row>
    <row r="13" spans="1:10" x14ac:dyDescent="0.2">
      <c r="A13" s="22" t="s">
        <v>142</v>
      </c>
      <c r="B13" s="25"/>
      <c r="C13" s="26"/>
      <c r="D13" s="26"/>
      <c r="E13" s="26"/>
      <c r="F13" s="26"/>
      <c r="G13" s="26"/>
      <c r="H13" s="26"/>
      <c r="I13" s="26"/>
      <c r="J13" s="26"/>
    </row>
    <row r="14" spans="1:10" x14ac:dyDescent="0.2">
      <c r="A14" s="22" t="s">
        <v>143</v>
      </c>
      <c r="B14" s="25"/>
      <c r="C14" s="26"/>
      <c r="D14" s="26"/>
      <c r="E14" s="26"/>
      <c r="F14" s="26"/>
      <c r="G14" s="26"/>
      <c r="H14" s="26"/>
      <c r="I14" s="26"/>
      <c r="J14" s="26">
        <f>SUM(B14:I14)</f>
        <v>0</v>
      </c>
    </row>
    <row r="15" spans="1:10" x14ac:dyDescent="0.2">
      <c r="A15" s="22" t="s">
        <v>144</v>
      </c>
      <c r="B15" s="27"/>
      <c r="C15" s="26"/>
      <c r="D15" s="26"/>
      <c r="E15" s="26"/>
      <c r="F15" s="26"/>
      <c r="G15" s="26"/>
      <c r="H15" s="26"/>
      <c r="I15" s="26"/>
      <c r="J15" s="26">
        <f>SUM(B15:I15)</f>
        <v>0</v>
      </c>
    </row>
    <row r="16" spans="1:10" x14ac:dyDescent="0.2">
      <c r="A16" s="22" t="s">
        <v>145</v>
      </c>
      <c r="B16" s="27"/>
      <c r="C16" s="26"/>
      <c r="D16" s="26"/>
      <c r="E16" s="26"/>
      <c r="F16" s="26"/>
      <c r="G16" s="26"/>
      <c r="H16" s="26"/>
      <c r="I16" s="26"/>
      <c r="J16" s="26">
        <f>SUM(B16:I16)</f>
        <v>0</v>
      </c>
    </row>
    <row r="17" spans="1:12" x14ac:dyDescent="0.2">
      <c r="A17" s="22" t="s">
        <v>146</v>
      </c>
      <c r="B17" s="28">
        <f>(B15)+(B16)</f>
        <v>0</v>
      </c>
      <c r="C17" s="29"/>
      <c r="D17" s="28">
        <f>(D15)+(D16)</f>
        <v>0</v>
      </c>
      <c r="E17" s="28">
        <f>(E15)+(E16)</f>
        <v>0</v>
      </c>
      <c r="F17" s="28">
        <f>(F15)+(F16)</f>
        <v>0</v>
      </c>
      <c r="G17" s="28">
        <f>(G15)+(G16)</f>
        <v>0</v>
      </c>
      <c r="H17" s="28">
        <f>(H15)+(H16)</f>
        <v>0</v>
      </c>
      <c r="I17" s="28"/>
      <c r="J17" s="28">
        <f>(J15)+(J16)</f>
        <v>0</v>
      </c>
    </row>
    <row r="18" spans="1:12" x14ac:dyDescent="0.2">
      <c r="A18" s="22" t="s">
        <v>147</v>
      </c>
      <c r="B18" s="25"/>
      <c r="C18" s="26"/>
      <c r="D18" s="26"/>
      <c r="E18" s="26"/>
      <c r="F18" s="26"/>
      <c r="G18" s="26"/>
      <c r="H18" s="26"/>
      <c r="I18" s="26"/>
      <c r="J18" s="26"/>
    </row>
    <row r="19" spans="1:12" x14ac:dyDescent="0.2">
      <c r="A19" s="22" t="s">
        <v>148</v>
      </c>
      <c r="B19" s="25"/>
      <c r="C19" s="26"/>
      <c r="D19" s="26"/>
      <c r="E19" s="26"/>
      <c r="F19" s="26"/>
      <c r="G19" s="26"/>
      <c r="H19" s="26"/>
      <c r="I19" s="26"/>
      <c r="J19" s="26"/>
    </row>
    <row r="20" spans="1:12" x14ac:dyDescent="0.2">
      <c r="A20" s="22" t="s">
        <v>149</v>
      </c>
      <c r="B20" s="27">
        <v>6179.29</v>
      </c>
      <c r="C20" s="26"/>
      <c r="D20" s="26"/>
      <c r="E20" s="26"/>
      <c r="F20" s="26"/>
      <c r="G20" s="26"/>
      <c r="H20" s="26"/>
      <c r="I20" s="26"/>
      <c r="J20" s="26">
        <f>SUM(B20:I20)</f>
        <v>6179.29</v>
      </c>
    </row>
    <row r="21" spans="1:12" x14ac:dyDescent="0.2">
      <c r="A21" s="22" t="s">
        <v>150</v>
      </c>
      <c r="B21" s="27">
        <v>475.78</v>
      </c>
      <c r="C21" s="26"/>
      <c r="D21" s="26"/>
      <c r="E21" s="26"/>
      <c r="F21" s="26"/>
      <c r="G21" s="26"/>
      <c r="H21" s="26"/>
      <c r="I21" s="26"/>
      <c r="J21" s="26">
        <f>SUM(B21:I21)</f>
        <v>475.78</v>
      </c>
    </row>
    <row r="22" spans="1:12" x14ac:dyDescent="0.2">
      <c r="A22" s="22" t="s">
        <v>151</v>
      </c>
      <c r="B22" s="27">
        <v>93085.88</v>
      </c>
      <c r="C22" s="26"/>
      <c r="D22" s="26"/>
      <c r="E22" s="26"/>
      <c r="F22" s="26">
        <v>0</v>
      </c>
      <c r="G22" s="26"/>
      <c r="H22" s="26"/>
      <c r="I22" s="26"/>
      <c r="J22" s="26">
        <f>SUM(B22:I22)</f>
        <v>93085.88</v>
      </c>
    </row>
    <row r="23" spans="1:12" x14ac:dyDescent="0.2">
      <c r="A23" s="22" t="s">
        <v>152</v>
      </c>
      <c r="B23" s="27">
        <v>6.65</v>
      </c>
      <c r="C23" s="26"/>
      <c r="D23" s="26"/>
      <c r="E23" s="26"/>
      <c r="F23" s="26"/>
      <c r="G23" s="26"/>
      <c r="H23" s="26"/>
      <c r="I23" s="26"/>
      <c r="J23" s="26">
        <f>SUM(B23:I23)</f>
        <v>6.65</v>
      </c>
    </row>
    <row r="24" spans="1:12" x14ac:dyDescent="0.2">
      <c r="A24" s="22" t="s">
        <v>153</v>
      </c>
      <c r="B24" s="28">
        <f>((((B19)+(B20))+(B21))+(B22))+(B23)</f>
        <v>99747.6</v>
      </c>
      <c r="C24" s="29"/>
      <c r="D24" s="28">
        <f>((((D19)+(D20))+(D21))+(D22))+(D23)</f>
        <v>0</v>
      </c>
      <c r="E24" s="28">
        <f>((((E19)+(E20))+(E21))+(E22))+(E23)</f>
        <v>0</v>
      </c>
      <c r="F24" s="28">
        <f>((((F19)+(F20))+(F21))+(F22))+(F23)</f>
        <v>0</v>
      </c>
      <c r="G24" s="28">
        <f>((((G19)+(G20))+(G21))+(G22))+(G23)</f>
        <v>0</v>
      </c>
      <c r="H24" s="28">
        <f>((((H19)+(H20))+(H21))+(H22))+(H23)</f>
        <v>0</v>
      </c>
      <c r="I24" s="28"/>
      <c r="J24" s="28">
        <f>((((J19)+(J20))+(J21))+(J22))+(J23)</f>
        <v>99747.6</v>
      </c>
    </row>
    <row r="25" spans="1:12" x14ac:dyDescent="0.2">
      <c r="A25" s="22" t="s">
        <v>154</v>
      </c>
      <c r="B25" s="28">
        <f>B24</f>
        <v>99747.6</v>
      </c>
      <c r="C25" s="26"/>
      <c r="D25" s="28">
        <f>D24</f>
        <v>0</v>
      </c>
      <c r="E25" s="28">
        <f>E24</f>
        <v>0</v>
      </c>
      <c r="F25" s="28">
        <f>F24</f>
        <v>0</v>
      </c>
      <c r="G25" s="28">
        <f>G24</f>
        <v>0</v>
      </c>
      <c r="H25" s="28">
        <f>H24</f>
        <v>0</v>
      </c>
      <c r="I25" s="26"/>
      <c r="J25" s="28">
        <f>J24</f>
        <v>99747.6</v>
      </c>
    </row>
    <row r="26" spans="1:12" x14ac:dyDescent="0.2">
      <c r="A26" s="22" t="s">
        <v>155</v>
      </c>
      <c r="B26" s="25"/>
      <c r="C26" s="26"/>
      <c r="D26" s="26"/>
      <c r="E26" s="26"/>
      <c r="F26" s="26"/>
      <c r="H26" s="26"/>
      <c r="I26" s="26"/>
      <c r="J26" s="26">
        <f>SUM(B26:I26)</f>
        <v>0</v>
      </c>
    </row>
    <row r="27" spans="1:12" x14ac:dyDescent="0.2">
      <c r="A27" s="22" t="s">
        <v>156</v>
      </c>
      <c r="B27" s="27">
        <v>2877.31</v>
      </c>
      <c r="C27" s="26"/>
      <c r="D27" s="26"/>
      <c r="E27" s="26"/>
      <c r="F27" s="26"/>
      <c r="G27" s="26"/>
      <c r="H27" s="26"/>
      <c r="I27" s="26"/>
      <c r="J27" s="26">
        <f>SUM(B27:I27)</f>
        <v>2877.31</v>
      </c>
      <c r="L27" s="13"/>
    </row>
    <row r="28" spans="1:12" x14ac:dyDescent="0.2">
      <c r="A28" s="33" t="s">
        <v>183</v>
      </c>
      <c r="B28" s="31">
        <v>0</v>
      </c>
      <c r="C28" s="26"/>
      <c r="D28" s="26"/>
      <c r="E28" s="26"/>
      <c r="F28" s="26"/>
      <c r="G28" s="26"/>
      <c r="H28" s="26"/>
      <c r="I28" s="26"/>
      <c r="J28" s="26">
        <f>SUM(B28:I28)</f>
        <v>0</v>
      </c>
      <c r="L28" s="13"/>
    </row>
    <row r="29" spans="1:12" x14ac:dyDescent="0.2">
      <c r="A29" s="33" t="s">
        <v>184</v>
      </c>
      <c r="B29" s="32">
        <f>(B27)+(B28)</f>
        <v>2877.31</v>
      </c>
      <c r="C29" s="26"/>
      <c r="D29" s="32">
        <f t="shared" ref="D29:J29" si="0">(D27)+(D28)</f>
        <v>0</v>
      </c>
      <c r="E29" s="32">
        <f t="shared" si="0"/>
        <v>0</v>
      </c>
      <c r="F29" s="32">
        <f t="shared" si="0"/>
        <v>0</v>
      </c>
      <c r="G29" s="32">
        <f t="shared" si="0"/>
        <v>0</v>
      </c>
      <c r="H29" s="32">
        <f t="shared" si="0"/>
        <v>0</v>
      </c>
      <c r="I29" s="26"/>
      <c r="J29" s="32">
        <f t="shared" si="0"/>
        <v>2877.31</v>
      </c>
      <c r="L29" s="13"/>
    </row>
    <row r="30" spans="1:12" x14ac:dyDescent="0.2">
      <c r="A30" s="22" t="s">
        <v>157</v>
      </c>
      <c r="B30" s="28">
        <f>B29</f>
        <v>2877.31</v>
      </c>
      <c r="C30" s="29"/>
      <c r="D30" s="28">
        <f t="shared" ref="D30:J30" si="1">D29</f>
        <v>0</v>
      </c>
      <c r="E30" s="28">
        <f t="shared" si="1"/>
        <v>0</v>
      </c>
      <c r="F30" s="28">
        <f t="shared" si="1"/>
        <v>0</v>
      </c>
      <c r="G30" s="28">
        <f t="shared" si="1"/>
        <v>0</v>
      </c>
      <c r="H30" s="28">
        <f t="shared" si="1"/>
        <v>0</v>
      </c>
      <c r="I30" s="28"/>
      <c r="J30" s="28">
        <f t="shared" si="1"/>
        <v>2877.31</v>
      </c>
    </row>
    <row r="31" spans="1:12" x14ac:dyDescent="0.2">
      <c r="A31" s="22" t="s">
        <v>158</v>
      </c>
      <c r="B31" s="28">
        <f>((B17)+(B25))+(B30)</f>
        <v>102624.91</v>
      </c>
      <c r="C31" s="29"/>
      <c r="D31" s="28">
        <f>((D17)+(D25))+(D30)</f>
        <v>0</v>
      </c>
      <c r="E31" s="28">
        <f t="shared" ref="E31:J31" si="2">((E17)+(E25))+(E30)</f>
        <v>0</v>
      </c>
      <c r="F31" s="28">
        <f t="shared" si="2"/>
        <v>0</v>
      </c>
      <c r="G31" s="28">
        <f t="shared" si="2"/>
        <v>0</v>
      </c>
      <c r="H31" s="28">
        <f t="shared" si="2"/>
        <v>0</v>
      </c>
      <c r="I31" s="28"/>
      <c r="J31" s="28">
        <f t="shared" si="2"/>
        <v>102624.91</v>
      </c>
    </row>
    <row r="32" spans="1:12" ht="25.5" x14ac:dyDescent="0.2">
      <c r="A32" s="22" t="s">
        <v>159</v>
      </c>
      <c r="B32" s="25"/>
      <c r="C32" s="26"/>
      <c r="D32" s="26"/>
      <c r="E32" s="26"/>
      <c r="F32" s="26"/>
      <c r="G32" s="26"/>
      <c r="H32" s="26"/>
      <c r="I32" s="26"/>
      <c r="J32" s="26"/>
    </row>
    <row r="33" spans="1:10" x14ac:dyDescent="0.2">
      <c r="A33" s="22" t="s">
        <v>160</v>
      </c>
      <c r="B33" s="25"/>
      <c r="C33" s="26"/>
      <c r="D33" s="26"/>
      <c r="E33" s="26"/>
      <c r="F33" s="26"/>
      <c r="G33" s="26"/>
      <c r="H33" s="26"/>
      <c r="I33" s="26"/>
      <c r="J33" s="26">
        <f>SUM(B33:I33)</f>
        <v>0</v>
      </c>
    </row>
    <row r="34" spans="1:10" x14ac:dyDescent="0.2">
      <c r="A34" s="22" t="s">
        <v>161</v>
      </c>
      <c r="B34" s="27">
        <v>-551.92999999999995</v>
      </c>
      <c r="C34" s="26"/>
      <c r="D34" s="26"/>
      <c r="E34" s="26"/>
      <c r="F34" s="26"/>
      <c r="G34" s="26"/>
      <c r="H34" s="26"/>
      <c r="I34" s="26"/>
      <c r="J34" s="26">
        <f>SUM(B34:I34)</f>
        <v>-551.92999999999995</v>
      </c>
    </row>
    <row r="35" spans="1:10" x14ac:dyDescent="0.2">
      <c r="A35" s="22" t="s">
        <v>162</v>
      </c>
      <c r="B35" s="28">
        <f>B34</f>
        <v>-551.92999999999995</v>
      </c>
      <c r="C35" s="29"/>
      <c r="D35" s="28">
        <f>D34</f>
        <v>0</v>
      </c>
      <c r="E35" s="28">
        <f>E34</f>
        <v>0</v>
      </c>
      <c r="F35" s="28">
        <f>F34</f>
        <v>0</v>
      </c>
      <c r="G35" s="28">
        <f>G34</f>
        <v>0</v>
      </c>
      <c r="H35" s="28">
        <f>H34</f>
        <v>0</v>
      </c>
      <c r="I35" s="28"/>
      <c r="J35" s="28">
        <f>J34</f>
        <v>-551.92999999999995</v>
      </c>
    </row>
    <row r="36" spans="1:10" x14ac:dyDescent="0.2">
      <c r="A36" s="22" t="s">
        <v>163</v>
      </c>
      <c r="B36" s="25"/>
      <c r="C36" s="26"/>
      <c r="D36" s="26"/>
      <c r="E36" s="26"/>
      <c r="F36" s="26"/>
      <c r="G36" s="26"/>
      <c r="H36" s="26"/>
      <c r="I36" s="26"/>
      <c r="J36" s="26"/>
    </row>
    <row r="37" spans="1:10" ht="25.5" x14ac:dyDescent="0.2">
      <c r="A37" s="22" t="s">
        <v>164</v>
      </c>
      <c r="B37" s="27">
        <v>0</v>
      </c>
      <c r="C37" s="27"/>
      <c r="D37" s="27"/>
      <c r="E37" s="27"/>
      <c r="F37" s="27"/>
      <c r="G37" s="27"/>
      <c r="H37" s="27"/>
      <c r="I37" s="27"/>
      <c r="J37" s="26">
        <f>SUM(B37:I37)</f>
        <v>0</v>
      </c>
    </row>
    <row r="38" spans="1:10" x14ac:dyDescent="0.2">
      <c r="A38" s="22" t="s">
        <v>165</v>
      </c>
      <c r="B38" s="27">
        <v>-13499.55</v>
      </c>
      <c r="C38" s="27"/>
      <c r="D38" s="27"/>
      <c r="E38" s="27"/>
      <c r="F38" s="27"/>
      <c r="G38" s="27"/>
      <c r="H38" s="27"/>
      <c r="I38" s="27"/>
      <c r="J38" s="26">
        <f>SUM(B38:I38)</f>
        <v>-13499.55</v>
      </c>
    </row>
    <row r="39" spans="1:10" ht="25.5" x14ac:dyDescent="0.2">
      <c r="A39" s="22" t="s">
        <v>166</v>
      </c>
      <c r="B39" s="27">
        <v>-411.29</v>
      </c>
      <c r="C39" s="27"/>
      <c r="D39" s="27">
        <f>-D27</f>
        <v>0</v>
      </c>
      <c r="E39" s="27"/>
      <c r="F39" s="27"/>
      <c r="G39" s="27"/>
      <c r="H39" s="27"/>
      <c r="I39" s="27"/>
      <c r="J39" s="26">
        <f>SUM(B39:I39)</f>
        <v>-411.29</v>
      </c>
    </row>
    <row r="40" spans="1:10" x14ac:dyDescent="0.2">
      <c r="A40" s="22" t="s">
        <v>167</v>
      </c>
      <c r="B40" s="28">
        <f>(B37)+(B38)+B39</f>
        <v>-13910.84</v>
      </c>
      <c r="C40" s="29"/>
      <c r="D40" s="28">
        <f>(D37)+(D38)+D39</f>
        <v>0</v>
      </c>
      <c r="E40" s="28">
        <f>(E37)+(E38)+E39</f>
        <v>0</v>
      </c>
      <c r="F40" s="28">
        <f>(F37)+(F38)+F39</f>
        <v>0</v>
      </c>
      <c r="G40" s="28">
        <f>(G37)+(G38)+G39</f>
        <v>0</v>
      </c>
      <c r="H40" s="28">
        <f>(H37)+(H38)+H39</f>
        <v>0</v>
      </c>
      <c r="I40" s="28"/>
      <c r="J40" s="28">
        <f>(J37)+(J38)+J39</f>
        <v>-13910.84</v>
      </c>
    </row>
    <row r="41" spans="1:10" ht="25.5" x14ac:dyDescent="0.2">
      <c r="A41" s="22" t="s">
        <v>168</v>
      </c>
      <c r="B41" s="28">
        <f>(B35)+(B40)</f>
        <v>-14462.77</v>
      </c>
      <c r="C41" s="29"/>
      <c r="D41" s="28">
        <f>(D35)+(D40)</f>
        <v>0</v>
      </c>
      <c r="E41" s="28">
        <f>(E35)+(E40)</f>
        <v>0</v>
      </c>
      <c r="F41" s="28">
        <f>(F35)+(F40)</f>
        <v>0</v>
      </c>
      <c r="G41" s="28">
        <f>(G35)+(G40)</f>
        <v>0</v>
      </c>
      <c r="H41" s="28">
        <f>(H35)+(H40)</f>
        <v>0</v>
      </c>
      <c r="I41" s="28"/>
      <c r="J41" s="28">
        <f>(J35)+(J40)</f>
        <v>-14462.77</v>
      </c>
    </row>
    <row r="42" spans="1:10" x14ac:dyDescent="0.2">
      <c r="A42" s="22" t="s">
        <v>169</v>
      </c>
      <c r="B42" s="28">
        <f>(B31)+(B41)</f>
        <v>88162.14</v>
      </c>
      <c r="C42" s="29"/>
      <c r="D42" s="28">
        <f>(D31)+(D41)</f>
        <v>0</v>
      </c>
      <c r="E42" s="28">
        <f>(E31)-(E41)</f>
        <v>0</v>
      </c>
      <c r="F42" s="28">
        <f>(F31)-(F41)</f>
        <v>0</v>
      </c>
      <c r="G42" s="28">
        <f>(G31)-(G41)</f>
        <v>0</v>
      </c>
      <c r="H42" s="28">
        <f>(H31)-(H41)</f>
        <v>0</v>
      </c>
      <c r="I42" s="28"/>
      <c r="J42" s="28">
        <f>(J31)+(J41)</f>
        <v>88162.14</v>
      </c>
    </row>
    <row r="43" spans="1:10" x14ac:dyDescent="0.2">
      <c r="A43" s="22" t="s">
        <v>170</v>
      </c>
      <c r="B43" s="28">
        <f>(B11)+(B42)</f>
        <v>102193.11</v>
      </c>
      <c r="C43" s="29"/>
      <c r="D43" s="28">
        <f>(D11)+(D42)</f>
        <v>0</v>
      </c>
      <c r="E43" s="28">
        <f>(E11)+(E42)</f>
        <v>0</v>
      </c>
      <c r="F43" s="28">
        <f>(F11)+(F42)</f>
        <v>0</v>
      </c>
      <c r="G43" s="28">
        <f>(G11)+(G42)</f>
        <v>0</v>
      </c>
      <c r="H43" s="28">
        <f>(H11)+(H42)</f>
        <v>0</v>
      </c>
      <c r="I43" s="28"/>
      <c r="J43" s="28">
        <f>(J11)+(J42)</f>
        <v>102193.11</v>
      </c>
    </row>
    <row r="44" spans="1:10" x14ac:dyDescent="0.2">
      <c r="A44" s="22" t="s">
        <v>171</v>
      </c>
      <c r="B44" s="28">
        <f>B43</f>
        <v>102193.11</v>
      </c>
      <c r="C44" s="29"/>
      <c r="D44" s="28">
        <f>D43</f>
        <v>0</v>
      </c>
      <c r="E44" s="28">
        <f>E43</f>
        <v>0</v>
      </c>
      <c r="F44" s="28">
        <f>F43</f>
        <v>0</v>
      </c>
      <c r="G44" s="28">
        <f>G43</f>
        <v>0</v>
      </c>
      <c r="H44" s="28">
        <f>H43</f>
        <v>0</v>
      </c>
      <c r="I44" s="28"/>
      <c r="J44" s="28">
        <f>J43</f>
        <v>102193.11</v>
      </c>
    </row>
    <row r="45" spans="1:10" x14ac:dyDescent="0.2">
      <c r="A45" s="22" t="s">
        <v>172</v>
      </c>
      <c r="B45" s="25"/>
      <c r="C45" s="26"/>
      <c r="D45" s="26"/>
      <c r="E45" s="26"/>
      <c r="F45" s="26"/>
      <c r="G45" s="26"/>
      <c r="H45" s="26"/>
      <c r="I45" s="26"/>
      <c r="J45" s="26"/>
    </row>
    <row r="46" spans="1:10" x14ac:dyDescent="0.2">
      <c r="A46" s="22" t="s">
        <v>173</v>
      </c>
      <c r="B46" s="27">
        <v>74556.06</v>
      </c>
      <c r="C46" s="26"/>
      <c r="D46" s="26"/>
      <c r="E46" s="26"/>
      <c r="F46" s="26"/>
      <c r="G46" s="26"/>
      <c r="H46" s="26"/>
      <c r="I46" s="26"/>
      <c r="J46" s="26">
        <f>SUM(B46:I46)</f>
        <v>74556.06</v>
      </c>
    </row>
    <row r="47" spans="1:10" x14ac:dyDescent="0.2">
      <c r="A47" s="22" t="s">
        <v>174</v>
      </c>
      <c r="B47" s="27">
        <v>27637.05</v>
      </c>
      <c r="C47" s="26"/>
      <c r="D47" s="26"/>
      <c r="E47" s="26"/>
      <c r="F47" s="26"/>
      <c r="G47" s="26"/>
      <c r="H47" s="26"/>
      <c r="I47" s="26"/>
      <c r="J47" s="26">
        <f>SUM(B47:I47)</f>
        <v>27637.05</v>
      </c>
    </row>
    <row r="48" spans="1:10" x14ac:dyDescent="0.2">
      <c r="A48" s="22" t="s">
        <v>175</v>
      </c>
      <c r="B48" s="28">
        <f>(B46)+(B47)</f>
        <v>102193.11</v>
      </c>
      <c r="C48" s="26"/>
      <c r="D48" s="28">
        <f>(D46)+(D47)</f>
        <v>0</v>
      </c>
      <c r="E48" s="28">
        <f>(E46)+(E47)</f>
        <v>0</v>
      </c>
      <c r="F48" s="28">
        <f>(F46)+(F47)</f>
        <v>0</v>
      </c>
      <c r="G48" s="28">
        <f>(G46)+(G47)</f>
        <v>0</v>
      </c>
      <c r="H48" s="28">
        <f>(H46)+(H47)</f>
        <v>0</v>
      </c>
      <c r="I48" s="28"/>
      <c r="J48" s="28">
        <f>(J46)+(J47)</f>
        <v>102193.11</v>
      </c>
    </row>
    <row r="49" spans="1:10" x14ac:dyDescent="0.2">
      <c r="A49" s="22"/>
      <c r="B49" s="25"/>
      <c r="C49" s="26"/>
      <c r="D49" s="26"/>
      <c r="E49" s="26"/>
      <c r="F49" s="26"/>
      <c r="G49" s="26"/>
      <c r="H49" s="26"/>
      <c r="I49" s="26"/>
      <c r="J49" s="26"/>
    </row>
    <row r="52" spans="1:10" x14ac:dyDescent="0.2">
      <c r="A52" s="310"/>
      <c r="B52" s="310"/>
    </row>
    <row r="54" spans="1:10" x14ac:dyDescent="0.2">
      <c r="A54" s="307"/>
      <c r="B54" s="307"/>
    </row>
  </sheetData>
  <sheetProtection selectLockedCells="1" selectUnlockedCells="1"/>
  <mergeCells count="6">
    <mergeCell ref="A54:B54"/>
    <mergeCell ref="A1:B1"/>
    <mergeCell ref="A2:B2"/>
    <mergeCell ref="A3:B3"/>
    <mergeCell ref="D4:F4"/>
    <mergeCell ref="A52:B52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G31"/>
  <sheetViews>
    <sheetView zoomScale="90" zoomScaleNormal="90" workbookViewId="0">
      <selection activeCell="G44" sqref="G44"/>
    </sheetView>
  </sheetViews>
  <sheetFormatPr defaultRowHeight="12.75" x14ac:dyDescent="0.2"/>
  <cols>
    <col min="1" max="1" width="25.28515625" customWidth="1"/>
    <col min="2" max="2" width="17.5703125" customWidth="1"/>
    <col min="3" max="3" width="15.85546875" customWidth="1"/>
    <col min="4" max="4" width="14.28515625" customWidth="1"/>
    <col min="5" max="5" width="14.7109375" customWidth="1"/>
    <col min="6" max="6" width="13" customWidth="1"/>
    <col min="7" max="7" width="25.28515625" customWidth="1"/>
    <col min="8" max="8" width="31.42578125" customWidth="1"/>
  </cols>
  <sheetData>
    <row r="1" spans="1:7" ht="18" x14ac:dyDescent="0.25">
      <c r="A1" s="304" t="s">
        <v>0</v>
      </c>
      <c r="B1" s="298"/>
      <c r="C1" s="298"/>
      <c r="D1" s="298"/>
    </row>
    <row r="2" spans="1:7" ht="18" x14ac:dyDescent="0.25">
      <c r="A2" s="304" t="s">
        <v>178</v>
      </c>
      <c r="B2" s="298"/>
      <c r="C2" s="298"/>
      <c r="D2" s="298"/>
    </row>
    <row r="3" spans="1:7" x14ac:dyDescent="0.2">
      <c r="A3" s="299" t="s">
        <v>352</v>
      </c>
      <c r="B3" s="299"/>
      <c r="C3" s="299"/>
      <c r="D3" s="299"/>
    </row>
    <row r="5" spans="1:7" x14ac:dyDescent="0.2">
      <c r="A5" s="17"/>
      <c r="B5" s="34" t="s">
        <v>60</v>
      </c>
      <c r="C5" s="34" t="s">
        <v>79</v>
      </c>
      <c r="D5" s="34" t="s">
        <v>126</v>
      </c>
      <c r="E5" s="34" t="s">
        <v>262</v>
      </c>
      <c r="F5" s="34" t="s">
        <v>41</v>
      </c>
    </row>
    <row r="6" spans="1:7" x14ac:dyDescent="0.2">
      <c r="A6" s="35" t="s">
        <v>2</v>
      </c>
      <c r="B6" s="36"/>
      <c r="C6" s="36"/>
      <c r="D6" s="37">
        <v>0</v>
      </c>
    </row>
    <row r="7" spans="1:7" x14ac:dyDescent="0.2">
      <c r="A7" s="35" t="s">
        <v>242</v>
      </c>
      <c r="B7" s="36"/>
      <c r="C7" s="36"/>
      <c r="D7" s="37">
        <v>0</v>
      </c>
    </row>
    <row r="8" spans="1:7" ht="15" x14ac:dyDescent="0.25">
      <c r="A8" s="149" t="s">
        <v>243</v>
      </c>
      <c r="B8" s="37">
        <v>12095.1</v>
      </c>
      <c r="C8" s="38">
        <f>-4312.16+390</f>
        <v>-3922.16</v>
      </c>
      <c r="D8" s="145">
        <f>B8+C8</f>
        <v>8172.9400000000005</v>
      </c>
      <c r="E8" s="150">
        <v>-8918.77</v>
      </c>
      <c r="F8" s="151">
        <f>E8+D8</f>
        <v>-745.82999999999993</v>
      </c>
      <c r="G8" s="150" t="s">
        <v>351</v>
      </c>
    </row>
    <row r="9" spans="1:7" x14ac:dyDescent="0.2">
      <c r="A9" s="35" t="s">
        <v>244</v>
      </c>
      <c r="B9" s="39">
        <f>B7+B8</f>
        <v>12095.1</v>
      </c>
      <c r="C9" s="39">
        <f>C7+C8</f>
        <v>-3922.16</v>
      </c>
      <c r="D9" s="39">
        <f>B9+C9</f>
        <v>8172.9400000000005</v>
      </c>
      <c r="F9" s="92"/>
    </row>
    <row r="10" spans="1:7" x14ac:dyDescent="0.2">
      <c r="A10" s="35" t="s">
        <v>245</v>
      </c>
      <c r="B10" s="37">
        <v>5384</v>
      </c>
      <c r="C10" s="38">
        <v>-4924.1099999999997</v>
      </c>
      <c r="D10" s="37">
        <v>459.89000000000033</v>
      </c>
    </row>
    <row r="11" spans="1:7" x14ac:dyDescent="0.2">
      <c r="A11" s="35" t="s">
        <v>246</v>
      </c>
      <c r="B11" s="37"/>
      <c r="C11" s="38"/>
      <c r="D11" s="37">
        <v>0</v>
      </c>
    </row>
    <row r="12" spans="1:7" ht="22.5" x14ac:dyDescent="0.2">
      <c r="A12" s="35" t="s">
        <v>274</v>
      </c>
      <c r="B12" s="145">
        <v>6000</v>
      </c>
      <c r="C12" s="148">
        <v>-5994.73</v>
      </c>
      <c r="D12" s="145">
        <f t="shared" ref="D12:D18" si="0">B12+C12</f>
        <v>5.2700000000004366</v>
      </c>
    </row>
    <row r="13" spans="1:7" x14ac:dyDescent="0.2">
      <c r="A13" s="35" t="s">
        <v>275</v>
      </c>
      <c r="B13" s="39">
        <v>6000</v>
      </c>
      <c r="C13" s="39">
        <v>-5994.73</v>
      </c>
      <c r="D13" s="39">
        <f t="shared" si="0"/>
        <v>5.2700000000004366</v>
      </c>
    </row>
    <row r="14" spans="1:7" x14ac:dyDescent="0.2">
      <c r="A14" s="35" t="s">
        <v>247</v>
      </c>
      <c r="B14" s="36"/>
      <c r="C14" s="36"/>
      <c r="D14" s="37">
        <f t="shared" si="0"/>
        <v>0</v>
      </c>
    </row>
    <row r="15" spans="1:7" x14ac:dyDescent="0.2">
      <c r="A15" s="35" t="s">
        <v>254</v>
      </c>
      <c r="B15" s="37">
        <v>4680</v>
      </c>
      <c r="C15" s="38">
        <v>-4939.05</v>
      </c>
      <c r="D15" s="37">
        <f t="shared" si="0"/>
        <v>-259.05000000000018</v>
      </c>
    </row>
    <row r="16" spans="1:7" ht="22.5" x14ac:dyDescent="0.2">
      <c r="A16" s="35" t="s">
        <v>248</v>
      </c>
      <c r="B16" s="37">
        <v>3556</v>
      </c>
      <c r="C16" s="38">
        <v>-3556</v>
      </c>
      <c r="D16" s="37">
        <f t="shared" si="0"/>
        <v>0</v>
      </c>
    </row>
    <row r="17" spans="1:4" x14ac:dyDescent="0.2">
      <c r="A17" s="35" t="s">
        <v>249</v>
      </c>
      <c r="B17" s="39">
        <f>B15+B16</f>
        <v>8236</v>
      </c>
      <c r="C17" s="39">
        <f>C15+C16</f>
        <v>-8495.0499999999993</v>
      </c>
      <c r="D17" s="39">
        <f t="shared" si="0"/>
        <v>-259.04999999999927</v>
      </c>
    </row>
    <row r="18" spans="1:4" x14ac:dyDescent="0.2">
      <c r="A18" s="35" t="s">
        <v>24</v>
      </c>
      <c r="B18" s="37">
        <v>3250</v>
      </c>
      <c r="C18" s="38">
        <v>-1981.72</v>
      </c>
      <c r="D18" s="37">
        <f t="shared" si="0"/>
        <v>1268.28</v>
      </c>
    </row>
    <row r="19" spans="1:4" x14ac:dyDescent="0.2">
      <c r="A19" s="35" t="s">
        <v>250</v>
      </c>
      <c r="B19" s="36"/>
      <c r="C19" s="36"/>
      <c r="D19" s="37">
        <v>0</v>
      </c>
    </row>
    <row r="20" spans="1:4" ht="22.5" x14ac:dyDescent="0.2">
      <c r="A20" s="35" t="s">
        <v>251</v>
      </c>
      <c r="B20" s="37">
        <v>7324.47</v>
      </c>
      <c r="C20" s="38">
        <v>-5348.58</v>
      </c>
      <c r="D20" s="37">
        <f t="shared" ref="D20:D25" si="1">B20+C20</f>
        <v>1975.8900000000003</v>
      </c>
    </row>
    <row r="21" spans="1:4" x14ac:dyDescent="0.2">
      <c r="A21" s="35" t="s">
        <v>252</v>
      </c>
      <c r="B21" s="39">
        <f>B20+B19</f>
        <v>7324.47</v>
      </c>
      <c r="C21" s="39">
        <f>C20+C19</f>
        <v>-5348.58</v>
      </c>
      <c r="D21" s="40">
        <f t="shared" si="1"/>
        <v>1975.8900000000003</v>
      </c>
    </row>
    <row r="22" spans="1:4" x14ac:dyDescent="0.2">
      <c r="A22" s="35" t="s">
        <v>255</v>
      </c>
      <c r="B22" s="37">
        <v>4200</v>
      </c>
      <c r="C22" s="38">
        <v>-3243.96</v>
      </c>
      <c r="D22" s="37">
        <f t="shared" si="1"/>
        <v>956.04</v>
      </c>
    </row>
    <row r="23" spans="1:4" x14ac:dyDescent="0.2">
      <c r="A23" s="35" t="s">
        <v>257</v>
      </c>
      <c r="B23" s="36"/>
      <c r="C23" s="36"/>
      <c r="D23" s="37">
        <f t="shared" si="1"/>
        <v>0</v>
      </c>
    </row>
    <row r="24" spans="1:4" x14ac:dyDescent="0.2">
      <c r="A24" s="149" t="s">
        <v>258</v>
      </c>
      <c r="B24" s="37">
        <v>11500</v>
      </c>
      <c r="C24" s="38">
        <v>-11500</v>
      </c>
      <c r="D24" s="37">
        <f t="shared" si="1"/>
        <v>0</v>
      </c>
    </row>
    <row r="25" spans="1:4" x14ac:dyDescent="0.2">
      <c r="A25" s="35" t="s">
        <v>259</v>
      </c>
      <c r="B25" s="37">
        <v>2700</v>
      </c>
      <c r="C25" s="38">
        <v>-2693.37</v>
      </c>
      <c r="D25" s="37">
        <f t="shared" si="1"/>
        <v>6.6300000000001091</v>
      </c>
    </row>
    <row r="26" spans="1:4" x14ac:dyDescent="0.2">
      <c r="A26" s="35" t="s">
        <v>260</v>
      </c>
      <c r="B26" s="39">
        <f>B24+B25</f>
        <v>14200</v>
      </c>
      <c r="C26" s="40">
        <f>C24+C25</f>
        <v>-14193.369999999999</v>
      </c>
      <c r="D26" s="39">
        <f>D24+D25</f>
        <v>6.6300000000001091</v>
      </c>
    </row>
    <row r="27" spans="1:4" x14ac:dyDescent="0.2">
      <c r="A27" s="35" t="s">
        <v>59</v>
      </c>
      <c r="B27" s="39">
        <f>B9+B10+B13+B17+B18+B21+B22+B26</f>
        <v>60689.57</v>
      </c>
      <c r="C27" s="40">
        <f>C9+C10+C13+C17+C18+C21+C22+C26</f>
        <v>-48103.679999999993</v>
      </c>
      <c r="D27" s="39">
        <f>B27+C27</f>
        <v>12585.890000000007</v>
      </c>
    </row>
    <row r="28" spans="1:4" x14ac:dyDescent="0.2">
      <c r="A28" s="35"/>
      <c r="B28" s="36"/>
      <c r="C28" s="36"/>
      <c r="D28" s="36"/>
    </row>
    <row r="30" spans="1:4" x14ac:dyDescent="0.2">
      <c r="B30" s="100"/>
      <c r="C30" s="100"/>
    </row>
    <row r="31" spans="1:4" x14ac:dyDescent="0.2">
      <c r="A31" s="306"/>
      <c r="B31" s="298"/>
      <c r="C31" s="298"/>
      <c r="D31" s="298"/>
    </row>
  </sheetData>
  <mergeCells count="4">
    <mergeCell ref="A1:D1"/>
    <mergeCell ref="A2:D2"/>
    <mergeCell ref="A3:D3"/>
    <mergeCell ref="A31:D31"/>
  </mergeCells>
  <pageMargins left="0.7" right="0.7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9E2BCB20C7B04990B299EFED389CFD" ma:contentTypeVersion="14" ma:contentTypeDescription="Create a new document." ma:contentTypeScope="" ma:versionID="f74d648f9e2de79fe566f91391f559e2">
  <xsd:schema xmlns:xsd="http://www.w3.org/2001/XMLSchema" xmlns:xs="http://www.w3.org/2001/XMLSchema" xmlns:p="http://schemas.microsoft.com/office/2006/metadata/properties" xmlns:ns2="3141e477-ae42-4145-902d-5ff16c2cbe51" xmlns:ns3="f98c2d35-f6d7-4ba4-a68f-32584a1a5c55" targetNamespace="http://schemas.microsoft.com/office/2006/metadata/properties" ma:root="true" ma:fieldsID="d576e7efaee74ad88b4bd63b679cf2f9" ns2:_="" ns3:_="">
    <xsd:import namespace="3141e477-ae42-4145-902d-5ff16c2cbe51"/>
    <xsd:import namespace="f98c2d35-f6d7-4ba4-a68f-32584a1a5c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1e477-ae42-4145-902d-5ff16c2cb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4bae4bb-a501-43cf-b3b6-6110671aff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c2d35-f6d7-4ba4-a68f-32584a1a5c5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16c5306-010f-48a2-bfc3-1c1c4b959432}" ma:internalName="TaxCatchAll" ma:showField="CatchAllData" ma:web="f98c2d35-f6d7-4ba4-a68f-32584a1a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41e477-ae42-4145-902d-5ff16c2cbe51">
      <Terms xmlns="http://schemas.microsoft.com/office/infopath/2007/PartnerControls"/>
    </lcf76f155ced4ddcb4097134ff3c332f>
    <TaxCatchAll xmlns="f98c2d35-f6d7-4ba4-a68f-32584a1a5c55" xsi:nil="true"/>
  </documentManagement>
</p:properties>
</file>

<file path=customXml/itemProps1.xml><?xml version="1.0" encoding="utf-8"?>
<ds:datastoreItem xmlns:ds="http://schemas.openxmlformats.org/officeDocument/2006/customXml" ds:itemID="{56BED61B-2498-40C7-84B7-847ED0B928BB}"/>
</file>

<file path=customXml/itemProps2.xml><?xml version="1.0" encoding="utf-8"?>
<ds:datastoreItem xmlns:ds="http://schemas.openxmlformats.org/officeDocument/2006/customXml" ds:itemID="{F23CBCC0-85A2-4FA4-98FC-5794FBA01489}"/>
</file>

<file path=customXml/itemProps3.xml><?xml version="1.0" encoding="utf-8"?>
<ds:datastoreItem xmlns:ds="http://schemas.openxmlformats.org/officeDocument/2006/customXml" ds:itemID="{DCCCB556-BE49-4A48-B499-6118BD03FC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</vt:i4>
      </vt:variant>
    </vt:vector>
  </HeadingPairs>
  <TitlesOfParts>
    <vt:vector size="23" baseType="lpstr">
      <vt:lpstr>Info</vt:lpstr>
      <vt:lpstr>H4 20-21 summary</vt:lpstr>
      <vt:lpstr>Funds Analysis</vt:lpstr>
      <vt:lpstr>Business Plan 17-18</vt:lpstr>
      <vt:lpstr>Open Restricted Funds</vt:lpstr>
      <vt:lpstr>Movement rec</vt:lpstr>
      <vt:lpstr>Balance Sheet</vt:lpstr>
      <vt:lpstr>Balance Sheet Q2 16_17</vt:lpstr>
      <vt:lpstr>Restricted Fund Status</vt:lpstr>
      <vt:lpstr>Restricted Funds Mvmt Rec</vt:lpstr>
      <vt:lpstr>Accruals (2)</vt:lpstr>
      <vt:lpstr>Prepayments (2)</vt:lpstr>
      <vt:lpstr>Furlough</vt:lpstr>
      <vt:lpstr>Business Plan 17_18</vt:lpstr>
      <vt:lpstr>Business Plan 17_18 Revised</vt:lpstr>
      <vt:lpstr>Prepayments</vt:lpstr>
      <vt:lpstr>Accruals</vt:lpstr>
      <vt:lpstr>Staff cost</vt:lpstr>
      <vt:lpstr>Budget</vt:lpstr>
      <vt:lpstr>Adjustments</vt:lpstr>
      <vt:lpstr>'H4 20-21 summary'!Print_Area</vt:lpstr>
      <vt:lpstr>'Funds Analysis'!Print_Titles</vt:lpstr>
      <vt:lpstr>'H4 20-21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</dc:creator>
  <cp:lastModifiedBy>The Kenilworth Centre</cp:lastModifiedBy>
  <cp:lastPrinted>2023-09-05T11:14:58Z</cp:lastPrinted>
  <dcterms:created xsi:type="dcterms:W3CDTF">2015-02-03T14:56:57Z</dcterms:created>
  <dcterms:modified xsi:type="dcterms:W3CDTF">2023-09-05T12:46:38Z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0x010100DB9E2BCB20C7B04990B299EFED389CFD</vt:lpwstr>
  </property>
</Properties>
</file>