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kenilworthcentre-my.sharepoint.com/personal/michaela_thekenilworthcentre_com/Documents/Management Accounts/2022 2023/"/>
    </mc:Choice>
  </mc:AlternateContent>
  <xr:revisionPtr revIDLastSave="24" documentId="13_ncr:1_{F86B3D79-650A-4059-A4A8-81E4087435BA}" xr6:coauthVersionLast="47" xr6:coauthVersionMax="47" xr10:uidLastSave="{F3802EA5-227B-422C-BFC2-582821ABC3BE}"/>
  <bookViews>
    <workbookView xWindow="10710" yWindow="1380" windowWidth="17010" windowHeight="14550" tabRatio="796" activeTab="2" xr2:uid="{00000000-000D-0000-FFFF-FFFF00000000}"/>
  </bookViews>
  <sheets>
    <sheet name="Balance Sheet" sheetId="6" r:id="rId1"/>
    <sheet name="SoFA" sheetId="5" r:id="rId2"/>
    <sheet name="Notes" sheetId="3" r:id="rId3"/>
    <sheet name="QB_Funds Analysis" sheetId="2" state="hidden" r:id="rId4"/>
    <sheet name="QB_Funds Analysis raw" sheetId="16" r:id="rId5"/>
    <sheet name="QB_Balance Sheet" sheetId="7" r:id="rId6"/>
    <sheet name="Fixed Assets" sheetId="12" r:id="rId7"/>
    <sheet name="Prepayments breakdown" sheetId="13" r:id="rId8"/>
    <sheet name="Accruals breakdown" sheetId="8" r:id="rId9"/>
    <sheet name="Aged Debt actions" sheetId="14" r:id="rId10"/>
    <sheet name="Income breakdown" sheetId="4" r:id="rId11"/>
    <sheet name="Staff Costs" sheetId="10" r:id="rId12"/>
    <sheet name="Furlough" sheetId="15" state="hidden" r:id="rId13"/>
  </sheets>
  <externalReferences>
    <externalReference r:id="rId14"/>
  </externalReferences>
  <definedNames>
    <definedName name="_xlnm.Print_Area" localSheetId="2">Notes!$A$1:$T$204</definedName>
    <definedName name="_xlnm.Print_Area" localSheetId="1">SoFA!$A$1:$T$38</definedName>
    <definedName name="_xlnm.Print_Area" localSheetId="11">'Staff Costs'!$A$1:$AG$30</definedName>
    <definedName name="_xlnm.Print_Titles" localSheetId="2">Notes!$1:$4</definedName>
    <definedName name="_xlnm.Print_Titles" localSheetId="3">'QB_Funds Analysis'!$1:$5</definedName>
    <definedName name="_xlnm.Print_Titles" localSheetId="4">'QB_Funds Analysis raw'!$1:$5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2" i="3" l="1"/>
  <c r="K193" i="3"/>
  <c r="I193" i="3"/>
  <c r="O187" i="3"/>
  <c r="K187" i="3"/>
  <c r="O184" i="3"/>
  <c r="O181" i="3"/>
  <c r="O193" i="3" l="1"/>
  <c r="D23" i="6" l="1"/>
  <c r="D21" i="6"/>
  <c r="D17" i="6"/>
  <c r="G199" i="3"/>
  <c r="D36" i="5"/>
  <c r="D30" i="5"/>
  <c r="D26" i="5"/>
  <c r="H14" i="5"/>
  <c r="H9" i="5"/>
  <c r="H10" i="5"/>
  <c r="G155" i="3"/>
  <c r="G126" i="3"/>
  <c r="G122" i="3"/>
  <c r="M97" i="3"/>
  <c r="M92" i="3"/>
  <c r="K97" i="3"/>
  <c r="G91" i="3"/>
  <c r="V92" i="16"/>
  <c r="J24" i="16"/>
  <c r="G7" i="16" l="1"/>
  <c r="M7" i="16"/>
  <c r="N7" i="16"/>
  <c r="R7" i="16"/>
  <c r="X7" i="16" s="1"/>
  <c r="W7" i="16"/>
  <c r="D8" i="16"/>
  <c r="I8" i="16"/>
  <c r="J8" i="16"/>
  <c r="L8" i="16"/>
  <c r="L10" i="16" s="1"/>
  <c r="P8" i="16"/>
  <c r="R8" i="16"/>
  <c r="V8" i="16"/>
  <c r="W8" i="16"/>
  <c r="C9" i="16"/>
  <c r="G9" i="16"/>
  <c r="M9" i="16"/>
  <c r="R9" i="16"/>
  <c r="W9" i="16"/>
  <c r="B10" i="16"/>
  <c r="C10" i="16"/>
  <c r="E10" i="16"/>
  <c r="F10" i="16"/>
  <c r="H10" i="16"/>
  <c r="I10" i="16"/>
  <c r="K10" i="16"/>
  <c r="O10" i="16"/>
  <c r="P10" i="16"/>
  <c r="Q10" i="16"/>
  <c r="S10" i="16"/>
  <c r="T10" i="16"/>
  <c r="U10" i="16"/>
  <c r="V10" i="16"/>
  <c r="G11" i="16"/>
  <c r="L11" i="16"/>
  <c r="M11" i="16"/>
  <c r="N11" i="16"/>
  <c r="R11" i="16"/>
  <c r="S11" i="16"/>
  <c r="W11" i="16"/>
  <c r="X11" i="16"/>
  <c r="G12" i="16"/>
  <c r="N12" i="16" s="1"/>
  <c r="M12" i="16"/>
  <c r="P12" i="16"/>
  <c r="Q12" i="16"/>
  <c r="W12" i="16"/>
  <c r="G13" i="16"/>
  <c r="M13" i="16"/>
  <c r="P13" i="16"/>
  <c r="R13" i="16"/>
  <c r="W13" i="16"/>
  <c r="G14" i="16"/>
  <c r="M14" i="16"/>
  <c r="P14" i="16"/>
  <c r="W14" i="16"/>
  <c r="G15" i="16"/>
  <c r="M15" i="16"/>
  <c r="P15" i="16"/>
  <c r="R15" i="16"/>
  <c r="W15" i="16"/>
  <c r="F16" i="16"/>
  <c r="G16" i="16"/>
  <c r="M16" i="16"/>
  <c r="P16" i="16"/>
  <c r="R16" i="16"/>
  <c r="X16" i="16" s="1"/>
  <c r="W16" i="16"/>
  <c r="G17" i="16"/>
  <c r="M17" i="16"/>
  <c r="P17" i="16"/>
  <c r="R17" i="16"/>
  <c r="W17" i="16"/>
  <c r="B18" i="16"/>
  <c r="C18" i="16"/>
  <c r="D18" i="16"/>
  <c r="E18" i="16"/>
  <c r="F18" i="16"/>
  <c r="H18" i="16"/>
  <c r="I18" i="16"/>
  <c r="J18" i="16"/>
  <c r="K18" i="16"/>
  <c r="L18" i="16"/>
  <c r="O18" i="16"/>
  <c r="S18" i="16"/>
  <c r="T18" i="16"/>
  <c r="U18" i="16"/>
  <c r="V18" i="16"/>
  <c r="G19" i="16"/>
  <c r="M19" i="16"/>
  <c r="N19" i="16"/>
  <c r="R19" i="16"/>
  <c r="W19" i="16"/>
  <c r="G20" i="16"/>
  <c r="M20" i="16"/>
  <c r="R20" i="16"/>
  <c r="T20" i="16"/>
  <c r="W20" i="16"/>
  <c r="G21" i="16"/>
  <c r="N21" i="16" s="1"/>
  <c r="K21" i="16"/>
  <c r="M21" i="16" s="1"/>
  <c r="R21" i="16"/>
  <c r="W21" i="16"/>
  <c r="G22" i="16"/>
  <c r="J22" i="16"/>
  <c r="L22" i="16"/>
  <c r="R22" i="16"/>
  <c r="X22" i="16" s="1"/>
  <c r="V22" i="16"/>
  <c r="W22" i="16"/>
  <c r="B23" i="16"/>
  <c r="C23" i="16"/>
  <c r="D23" i="16"/>
  <c r="E23" i="16"/>
  <c r="E27" i="16" s="1"/>
  <c r="E28" i="16" s="1"/>
  <c r="F23" i="16"/>
  <c r="H23" i="16"/>
  <c r="I23" i="16"/>
  <c r="L23" i="16"/>
  <c r="O23" i="16"/>
  <c r="P23" i="16"/>
  <c r="Q23" i="16"/>
  <c r="S23" i="16"/>
  <c r="T23" i="16"/>
  <c r="U23" i="16"/>
  <c r="V23" i="16"/>
  <c r="E24" i="16"/>
  <c r="G24" i="16"/>
  <c r="H24" i="16"/>
  <c r="I24" i="16"/>
  <c r="L24" i="16"/>
  <c r="M24" i="16" s="1"/>
  <c r="P24" i="16"/>
  <c r="R24" i="16"/>
  <c r="W24" i="16"/>
  <c r="G25" i="16"/>
  <c r="I25" i="16"/>
  <c r="K25" i="16"/>
  <c r="M25" i="16" s="1"/>
  <c r="L25" i="16"/>
  <c r="P25" i="16"/>
  <c r="R25" i="16" s="1"/>
  <c r="Q25" i="16"/>
  <c r="S25" i="16"/>
  <c r="W25" i="16" s="1"/>
  <c r="V25" i="16"/>
  <c r="G26" i="16"/>
  <c r="M26" i="16"/>
  <c r="R26" i="16"/>
  <c r="S26" i="16"/>
  <c r="W26" i="16" s="1"/>
  <c r="X26" i="16"/>
  <c r="G30" i="16"/>
  <c r="N30" i="16" s="1"/>
  <c r="M30" i="16"/>
  <c r="R30" i="16"/>
  <c r="W30" i="16"/>
  <c r="G31" i="16"/>
  <c r="N31" i="16" s="1"/>
  <c r="M31" i="16"/>
  <c r="P31" i="16"/>
  <c r="R31" i="16"/>
  <c r="W31" i="16"/>
  <c r="G32" i="16"/>
  <c r="M32" i="16"/>
  <c r="P32" i="16"/>
  <c r="W32" i="16"/>
  <c r="D33" i="16"/>
  <c r="G33" i="16" s="1"/>
  <c r="H33" i="16"/>
  <c r="J33" i="16"/>
  <c r="K33" i="16"/>
  <c r="K37" i="16" s="1"/>
  <c r="R33" i="16"/>
  <c r="S33" i="16"/>
  <c r="U33" i="16"/>
  <c r="U37" i="16" s="1"/>
  <c r="G34" i="16"/>
  <c r="L34" i="16"/>
  <c r="M34" i="16"/>
  <c r="P34" i="16"/>
  <c r="R34" i="16" s="1"/>
  <c r="W34" i="16"/>
  <c r="G35" i="16"/>
  <c r="M35" i="16"/>
  <c r="N35" i="16" s="1"/>
  <c r="R35" i="16"/>
  <c r="X35" i="16" s="1"/>
  <c r="W35" i="16"/>
  <c r="G36" i="16"/>
  <c r="N36" i="16" s="1"/>
  <c r="M36" i="16"/>
  <c r="P36" i="16"/>
  <c r="R36" i="16"/>
  <c r="X36" i="16" s="1"/>
  <c r="W36" i="16"/>
  <c r="B37" i="16"/>
  <c r="C37" i="16"/>
  <c r="D37" i="16"/>
  <c r="G37" i="16" s="1"/>
  <c r="E37" i="16"/>
  <c r="F37" i="16"/>
  <c r="H37" i="16"/>
  <c r="I37" i="16"/>
  <c r="L37" i="16"/>
  <c r="O37" i="16"/>
  <c r="Q37" i="16"/>
  <c r="T37" i="16"/>
  <c r="V37" i="16"/>
  <c r="G38" i="16"/>
  <c r="M38" i="16"/>
  <c r="N38" i="16"/>
  <c r="R38" i="16"/>
  <c r="W38" i="16"/>
  <c r="G39" i="16"/>
  <c r="I39" i="16"/>
  <c r="J39" i="16"/>
  <c r="K39" i="16"/>
  <c r="L39" i="16"/>
  <c r="L40" i="16" s="1"/>
  <c r="P39" i="16"/>
  <c r="P40" i="16" s="1"/>
  <c r="R39" i="16"/>
  <c r="W39" i="16"/>
  <c r="B40" i="16"/>
  <c r="C40" i="16"/>
  <c r="D40" i="16"/>
  <c r="E40" i="16"/>
  <c r="F40" i="16"/>
  <c r="G40" i="16"/>
  <c r="H40" i="16"/>
  <c r="I40" i="16"/>
  <c r="J40" i="16"/>
  <c r="K40" i="16"/>
  <c r="M40" i="16" s="1"/>
  <c r="O40" i="16"/>
  <c r="Q40" i="16"/>
  <c r="S40" i="16"/>
  <c r="T40" i="16"/>
  <c r="U40" i="16"/>
  <c r="V40" i="16"/>
  <c r="G41" i="16"/>
  <c r="M41" i="16"/>
  <c r="R41" i="16"/>
  <c r="W41" i="16"/>
  <c r="X41" i="16"/>
  <c r="G42" i="16"/>
  <c r="N42" i="16" s="1"/>
  <c r="M42" i="16"/>
  <c r="P42" i="16"/>
  <c r="R42" i="16"/>
  <c r="W42" i="16"/>
  <c r="G43" i="16"/>
  <c r="N43" i="16" s="1"/>
  <c r="M43" i="16"/>
  <c r="P43" i="16"/>
  <c r="R43" i="16"/>
  <c r="W43" i="16"/>
  <c r="D44" i="16"/>
  <c r="G44" i="16"/>
  <c r="M44" i="16"/>
  <c r="P44" i="16"/>
  <c r="Q44" i="16"/>
  <c r="R44" i="16"/>
  <c r="X44" i="16" s="1"/>
  <c r="S44" i="16"/>
  <c r="W44" i="16"/>
  <c r="B45" i="16"/>
  <c r="C45" i="16"/>
  <c r="D45" i="16"/>
  <c r="G45" i="16" s="1"/>
  <c r="E45" i="16"/>
  <c r="F45" i="16"/>
  <c r="H45" i="16"/>
  <c r="I45" i="16"/>
  <c r="J45" i="16"/>
  <c r="K45" i="16"/>
  <c r="L45" i="16"/>
  <c r="M45" i="16"/>
  <c r="O45" i="16"/>
  <c r="P45" i="16"/>
  <c r="Q45" i="16"/>
  <c r="S45" i="16"/>
  <c r="W45" i="16" s="1"/>
  <c r="T45" i="16"/>
  <c r="U45" i="16"/>
  <c r="V45" i="16"/>
  <c r="G46" i="16"/>
  <c r="M46" i="16"/>
  <c r="N46" i="16"/>
  <c r="R46" i="16"/>
  <c r="X46" i="16" s="1"/>
  <c r="W46" i="16"/>
  <c r="G47" i="16"/>
  <c r="N47" i="16" s="1"/>
  <c r="M47" i="16"/>
  <c r="P47" i="16"/>
  <c r="W47" i="16"/>
  <c r="G48" i="16"/>
  <c r="M48" i="16"/>
  <c r="N48" i="16"/>
  <c r="R48" i="16"/>
  <c r="X48" i="16" s="1"/>
  <c r="W48" i="16"/>
  <c r="G49" i="16"/>
  <c r="M49" i="16"/>
  <c r="P49" i="16"/>
  <c r="R49" i="16"/>
  <c r="W49" i="16"/>
  <c r="G50" i="16"/>
  <c r="M50" i="16"/>
  <c r="P50" i="16"/>
  <c r="R50" i="16" s="1"/>
  <c r="X50" i="16" s="1"/>
  <c r="W50" i="16"/>
  <c r="G51" i="16"/>
  <c r="M51" i="16"/>
  <c r="P51" i="16"/>
  <c r="R51" i="16"/>
  <c r="W51" i="16"/>
  <c r="G52" i="16"/>
  <c r="M52" i="16"/>
  <c r="P52" i="16"/>
  <c r="R52" i="16" s="1"/>
  <c r="W52" i="16"/>
  <c r="B53" i="16"/>
  <c r="C53" i="16"/>
  <c r="D53" i="16"/>
  <c r="E53" i="16"/>
  <c r="G53" i="16" s="1"/>
  <c r="F53" i="16"/>
  <c r="H53" i="16"/>
  <c r="I53" i="16"/>
  <c r="I64" i="16" s="1"/>
  <c r="J53" i="16"/>
  <c r="K53" i="16"/>
  <c r="L53" i="16"/>
  <c r="O53" i="16"/>
  <c r="Q53" i="16"/>
  <c r="Q64" i="16" s="1"/>
  <c r="S53" i="16"/>
  <c r="T53" i="16"/>
  <c r="U53" i="16"/>
  <c r="W53" i="16" s="1"/>
  <c r="V53" i="16"/>
  <c r="V64" i="16" s="1"/>
  <c r="G54" i="16"/>
  <c r="M54" i="16"/>
  <c r="P54" i="16"/>
  <c r="R54" i="16" s="1"/>
  <c r="X54" i="16" s="1"/>
  <c r="W54" i="16"/>
  <c r="G55" i="16"/>
  <c r="M55" i="16"/>
  <c r="P55" i="16"/>
  <c r="R55" i="16"/>
  <c r="W55" i="16"/>
  <c r="G56" i="16"/>
  <c r="M56" i="16"/>
  <c r="P56" i="16"/>
  <c r="R56" i="16"/>
  <c r="W56" i="16"/>
  <c r="G57" i="16"/>
  <c r="M57" i="16"/>
  <c r="P57" i="16"/>
  <c r="R57" i="16"/>
  <c r="W57" i="16"/>
  <c r="G58" i="16"/>
  <c r="M58" i="16"/>
  <c r="P58" i="16"/>
  <c r="R58" i="16"/>
  <c r="X58" i="16" s="1"/>
  <c r="W58" i="16"/>
  <c r="E59" i="16"/>
  <c r="G59" i="16"/>
  <c r="M59" i="16"/>
  <c r="P59" i="16"/>
  <c r="R59" i="16" s="1"/>
  <c r="X59" i="16" s="1"/>
  <c r="W59" i="16"/>
  <c r="G60" i="16"/>
  <c r="N60" i="16" s="1"/>
  <c r="M60" i="16"/>
  <c r="P60" i="16"/>
  <c r="R60" i="16"/>
  <c r="W60" i="16"/>
  <c r="G61" i="16"/>
  <c r="N61" i="16" s="1"/>
  <c r="M61" i="16"/>
  <c r="P61" i="16"/>
  <c r="R61" i="16" s="1"/>
  <c r="W61" i="16"/>
  <c r="B62" i="16"/>
  <c r="C62" i="16"/>
  <c r="D62" i="16"/>
  <c r="E62" i="16"/>
  <c r="F62" i="16"/>
  <c r="H62" i="16"/>
  <c r="I62" i="16"/>
  <c r="J62" i="16"/>
  <c r="K62" i="16"/>
  <c r="L62" i="16"/>
  <c r="O62" i="16"/>
  <c r="Q62" i="16"/>
  <c r="S62" i="16"/>
  <c r="T62" i="16"/>
  <c r="U62" i="16"/>
  <c r="V62" i="16"/>
  <c r="E63" i="16"/>
  <c r="G63" i="16"/>
  <c r="M63" i="16"/>
  <c r="P63" i="16"/>
  <c r="R63" i="16"/>
  <c r="X63" i="16" s="1"/>
  <c r="W63" i="16"/>
  <c r="D64" i="16"/>
  <c r="H64" i="16"/>
  <c r="L64" i="16"/>
  <c r="T64" i="16"/>
  <c r="G65" i="16"/>
  <c r="M65" i="16"/>
  <c r="R65" i="16"/>
  <c r="X65" i="16" s="1"/>
  <c r="W65" i="16"/>
  <c r="G66" i="16"/>
  <c r="J66" i="16"/>
  <c r="P66" i="16"/>
  <c r="R66" i="16" s="1"/>
  <c r="X66" i="16" s="1"/>
  <c r="W66" i="16"/>
  <c r="G67" i="16"/>
  <c r="M67" i="16"/>
  <c r="P67" i="16"/>
  <c r="R67" i="16"/>
  <c r="W67" i="16"/>
  <c r="E68" i="16"/>
  <c r="K68" i="16"/>
  <c r="M68" i="16"/>
  <c r="P68" i="16"/>
  <c r="R68" i="16"/>
  <c r="W68" i="16"/>
  <c r="B69" i="16"/>
  <c r="C69" i="16"/>
  <c r="D69" i="16"/>
  <c r="F69" i="16"/>
  <c r="H69" i="16"/>
  <c r="I69" i="16"/>
  <c r="K69" i="16"/>
  <c r="L69" i="16"/>
  <c r="O69" i="16"/>
  <c r="Q69" i="16"/>
  <c r="S69" i="16"/>
  <c r="T69" i="16"/>
  <c r="U69" i="16"/>
  <c r="V69" i="16"/>
  <c r="G70" i="16"/>
  <c r="N70" i="16" s="1"/>
  <c r="Y70" i="16" s="1"/>
  <c r="M70" i="16"/>
  <c r="P70" i="16"/>
  <c r="R70" i="16"/>
  <c r="X70" i="16" s="1"/>
  <c r="W70" i="16"/>
  <c r="G71" i="16"/>
  <c r="H71" i="16"/>
  <c r="M71" i="16"/>
  <c r="P71" i="16"/>
  <c r="R71" i="16"/>
  <c r="W71" i="16"/>
  <c r="G72" i="16"/>
  <c r="M72" i="16"/>
  <c r="P72" i="16"/>
  <c r="R72" i="16"/>
  <c r="X72" i="16" s="1"/>
  <c r="W72" i="16"/>
  <c r="G73" i="16"/>
  <c r="M73" i="16"/>
  <c r="P73" i="16"/>
  <c r="R73" i="16"/>
  <c r="W73" i="16"/>
  <c r="G74" i="16"/>
  <c r="M74" i="16"/>
  <c r="P74" i="16"/>
  <c r="R74" i="16"/>
  <c r="W74" i="16"/>
  <c r="G75" i="16"/>
  <c r="N75" i="16" s="1"/>
  <c r="H75" i="16"/>
  <c r="M75" i="16"/>
  <c r="P75" i="16"/>
  <c r="R75" i="16"/>
  <c r="X75" i="16" s="1"/>
  <c r="W75" i="16"/>
  <c r="G76" i="16"/>
  <c r="H76" i="16"/>
  <c r="M76" i="16"/>
  <c r="P76" i="16"/>
  <c r="R76" i="16" s="1"/>
  <c r="T76" i="16"/>
  <c r="W76" i="16"/>
  <c r="G77" i="16"/>
  <c r="M77" i="16"/>
  <c r="P77" i="16"/>
  <c r="R77" i="16"/>
  <c r="W77" i="16"/>
  <c r="X77" i="16" s="1"/>
  <c r="G78" i="16"/>
  <c r="M78" i="16"/>
  <c r="N78" i="16"/>
  <c r="P78" i="16"/>
  <c r="R78" i="16"/>
  <c r="S78" i="16"/>
  <c r="W78" i="16"/>
  <c r="G79" i="16"/>
  <c r="M79" i="16"/>
  <c r="R79" i="16"/>
  <c r="W79" i="16"/>
  <c r="X79" i="16" s="1"/>
  <c r="G80" i="16"/>
  <c r="N80" i="16" s="1"/>
  <c r="M80" i="16"/>
  <c r="P80" i="16"/>
  <c r="R80" i="16"/>
  <c r="X80" i="16" s="1"/>
  <c r="W80" i="16"/>
  <c r="B81" i="16"/>
  <c r="B89" i="16" s="1"/>
  <c r="C81" i="16"/>
  <c r="D81" i="16"/>
  <c r="E81" i="16"/>
  <c r="F81" i="16"/>
  <c r="H81" i="16"/>
  <c r="I81" i="16"/>
  <c r="J81" i="16"/>
  <c r="K81" i="16"/>
  <c r="K89" i="16" s="1"/>
  <c r="L81" i="16"/>
  <c r="L89" i="16" s="1"/>
  <c r="O81" i="16"/>
  <c r="P81" i="16"/>
  <c r="Q81" i="16"/>
  <c r="S81" i="16"/>
  <c r="T81" i="16"/>
  <c r="U81" i="16"/>
  <c r="V81" i="16"/>
  <c r="W81" i="16"/>
  <c r="G82" i="16"/>
  <c r="M82" i="16"/>
  <c r="N82" i="16"/>
  <c r="Q82" i="16"/>
  <c r="R82" i="16"/>
  <c r="W82" i="16"/>
  <c r="X82" i="16"/>
  <c r="G83" i="16"/>
  <c r="N83" i="16" s="1"/>
  <c r="M83" i="16"/>
  <c r="Q83" i="16"/>
  <c r="R83" i="16"/>
  <c r="X83" i="16" s="1"/>
  <c r="W83" i="16"/>
  <c r="G84" i="16"/>
  <c r="N84" i="16" s="1"/>
  <c r="H84" i="16"/>
  <c r="H85" i="16" s="1"/>
  <c r="M84" i="16"/>
  <c r="P84" i="16"/>
  <c r="P85" i="16" s="1"/>
  <c r="R84" i="16"/>
  <c r="W84" i="16"/>
  <c r="B85" i="16"/>
  <c r="C85" i="16"/>
  <c r="D85" i="16"/>
  <c r="G85" i="16" s="1"/>
  <c r="N85" i="16" s="1"/>
  <c r="E85" i="16"/>
  <c r="E89" i="16" s="1"/>
  <c r="F85" i="16"/>
  <c r="I85" i="16"/>
  <c r="I89" i="16" s="1"/>
  <c r="J85" i="16"/>
  <c r="M85" i="16" s="1"/>
  <c r="K85" i="16"/>
  <c r="L85" i="16"/>
  <c r="O85" i="16"/>
  <c r="Q85" i="16"/>
  <c r="R85" i="16" s="1"/>
  <c r="S85" i="16"/>
  <c r="W85" i="16" s="1"/>
  <c r="T85" i="16"/>
  <c r="T89" i="16" s="1"/>
  <c r="U85" i="16"/>
  <c r="V85" i="16"/>
  <c r="G86" i="16"/>
  <c r="M86" i="16"/>
  <c r="P86" i="16"/>
  <c r="R86" i="16" s="1"/>
  <c r="W86" i="16"/>
  <c r="G87" i="16"/>
  <c r="M87" i="16"/>
  <c r="P87" i="16"/>
  <c r="R87" i="16"/>
  <c r="W87" i="16"/>
  <c r="F88" i="16"/>
  <c r="G88" i="16"/>
  <c r="M88" i="16"/>
  <c r="N88" i="16"/>
  <c r="P88" i="16"/>
  <c r="R88" i="16"/>
  <c r="W88" i="16"/>
  <c r="X88" i="16"/>
  <c r="F89" i="16"/>
  <c r="P89" i="16"/>
  <c r="Q89" i="16"/>
  <c r="U89" i="16"/>
  <c r="G90" i="16"/>
  <c r="M90" i="16"/>
  <c r="R90" i="16"/>
  <c r="W90" i="16"/>
  <c r="G91" i="16"/>
  <c r="J91" i="16"/>
  <c r="R91" i="16"/>
  <c r="S91" i="16"/>
  <c r="V91" i="16"/>
  <c r="W91" i="16"/>
  <c r="X91" i="16" s="1"/>
  <c r="G92" i="16"/>
  <c r="M92" i="16"/>
  <c r="R92" i="16"/>
  <c r="S92" i="16"/>
  <c r="G93" i="16"/>
  <c r="I93" i="16"/>
  <c r="M93" i="16"/>
  <c r="R93" i="16"/>
  <c r="S93" i="16"/>
  <c r="T93" i="16"/>
  <c r="T96" i="16" s="1"/>
  <c r="G94" i="16"/>
  <c r="N94" i="16" s="1"/>
  <c r="K94" i="16"/>
  <c r="M94" i="16"/>
  <c r="R94" i="16"/>
  <c r="W94" i="16"/>
  <c r="G95" i="16"/>
  <c r="J95" i="16"/>
  <c r="L95" i="16"/>
  <c r="M95" i="16"/>
  <c r="N95" i="16" s="1"/>
  <c r="Y95" i="16" s="1"/>
  <c r="R95" i="16"/>
  <c r="W95" i="16"/>
  <c r="X95" i="16"/>
  <c r="B96" i="16"/>
  <c r="C96" i="16"/>
  <c r="D96" i="16"/>
  <c r="E96" i="16"/>
  <c r="F96" i="16"/>
  <c r="H96" i="16"/>
  <c r="I96" i="16"/>
  <c r="K96" i="16"/>
  <c r="L96" i="16"/>
  <c r="O96" i="16"/>
  <c r="P96" i="16"/>
  <c r="R96" i="16" s="1"/>
  <c r="Q96" i="16"/>
  <c r="U96" i="16"/>
  <c r="E97" i="16"/>
  <c r="G97" i="16"/>
  <c r="J97" i="16"/>
  <c r="M97" i="16"/>
  <c r="P97" i="16"/>
  <c r="V97" i="16"/>
  <c r="E98" i="16"/>
  <c r="G98" i="16" s="1"/>
  <c r="J98" i="16"/>
  <c r="L98" i="16"/>
  <c r="M98" i="16"/>
  <c r="R98" i="16"/>
  <c r="V98" i="16"/>
  <c r="W98" i="16"/>
  <c r="C99" i="16"/>
  <c r="E99" i="16"/>
  <c r="G99" i="16" s="1"/>
  <c r="I99" i="16"/>
  <c r="I100" i="16" s="1"/>
  <c r="M99" i="16"/>
  <c r="R99" i="16"/>
  <c r="X99" i="16" s="1"/>
  <c r="W99" i="16"/>
  <c r="B100" i="16"/>
  <c r="C100" i="16"/>
  <c r="D100" i="16"/>
  <c r="F100" i="16"/>
  <c r="H100" i="16"/>
  <c r="K100" i="16"/>
  <c r="L100" i="16"/>
  <c r="O100" i="16"/>
  <c r="Q100" i="16"/>
  <c r="S100" i="16"/>
  <c r="T100" i="16"/>
  <c r="U100" i="16"/>
  <c r="G101" i="16"/>
  <c r="M101" i="16"/>
  <c r="N101" i="16" s="1"/>
  <c r="Y101" i="16" s="1"/>
  <c r="R101" i="16"/>
  <c r="W101" i="16"/>
  <c r="X101" i="16"/>
  <c r="G102" i="16"/>
  <c r="N102" i="16" s="1"/>
  <c r="M102" i="16"/>
  <c r="P102" i="16"/>
  <c r="W102" i="16"/>
  <c r="B103" i="16"/>
  <c r="C103" i="16"/>
  <c r="D103" i="16"/>
  <c r="E103" i="16"/>
  <c r="F103" i="16"/>
  <c r="H103" i="16"/>
  <c r="I103" i="16"/>
  <c r="J103" i="16"/>
  <c r="M103" i="16" s="1"/>
  <c r="K103" i="16"/>
  <c r="L103" i="16"/>
  <c r="O103" i="16"/>
  <c r="Q103" i="16"/>
  <c r="S103" i="16"/>
  <c r="T103" i="16"/>
  <c r="U103" i="16"/>
  <c r="V103" i="16"/>
  <c r="G107" i="16"/>
  <c r="N107" i="16" s="1"/>
  <c r="M107" i="16"/>
  <c r="P107" i="16"/>
  <c r="R107" i="16"/>
  <c r="X107" i="16" s="1"/>
  <c r="W107" i="16"/>
  <c r="B108" i="16"/>
  <c r="C108" i="16"/>
  <c r="D108" i="16"/>
  <c r="E108" i="16"/>
  <c r="F108" i="16"/>
  <c r="H108" i="16"/>
  <c r="I108" i="16"/>
  <c r="J108" i="16"/>
  <c r="K108" i="16"/>
  <c r="L108" i="16"/>
  <c r="O108" i="16"/>
  <c r="P108" i="16"/>
  <c r="Q108" i="16"/>
  <c r="S108" i="16"/>
  <c r="T108" i="16"/>
  <c r="U108" i="16"/>
  <c r="V108" i="16"/>
  <c r="D110" i="16"/>
  <c r="G110" i="16" s="1"/>
  <c r="J110" i="16"/>
  <c r="M110" i="16"/>
  <c r="R110" i="16"/>
  <c r="W110" i="16"/>
  <c r="X110" i="16"/>
  <c r="G111" i="16"/>
  <c r="M111" i="16"/>
  <c r="N111" i="16"/>
  <c r="R111" i="16"/>
  <c r="X111" i="16" s="1"/>
  <c r="W111" i="16"/>
  <c r="D112" i="16"/>
  <c r="M112" i="16"/>
  <c r="R112" i="16"/>
  <c r="X112" i="16" s="1"/>
  <c r="W112" i="16"/>
  <c r="G113" i="16"/>
  <c r="M113" i="16"/>
  <c r="P113" i="16"/>
  <c r="P114" i="16" s="1"/>
  <c r="P116" i="16" s="1"/>
  <c r="R116" i="16" s="1"/>
  <c r="R113" i="16"/>
  <c r="W113" i="16"/>
  <c r="B114" i="16"/>
  <c r="B116" i="16" s="1"/>
  <c r="C114" i="16"/>
  <c r="C116" i="16" s="1"/>
  <c r="E114" i="16"/>
  <c r="F114" i="16"/>
  <c r="H114" i="16"/>
  <c r="H116" i="16" s="1"/>
  <c r="I114" i="16"/>
  <c r="I116" i="16" s="1"/>
  <c r="J114" i="16"/>
  <c r="K114" i="16"/>
  <c r="L114" i="16"/>
  <c r="L116" i="16" s="1"/>
  <c r="O114" i="16"/>
  <c r="Q114" i="16"/>
  <c r="Q116" i="16" s="1"/>
  <c r="Q117" i="16" s="1"/>
  <c r="S114" i="16"/>
  <c r="W114" i="16" s="1"/>
  <c r="T114" i="16"/>
  <c r="T116" i="16" s="1"/>
  <c r="U114" i="16"/>
  <c r="U116" i="16" s="1"/>
  <c r="U117" i="16" s="1"/>
  <c r="V114" i="16"/>
  <c r="G115" i="16"/>
  <c r="N115" i="16" s="1"/>
  <c r="M115" i="16"/>
  <c r="P115" i="16"/>
  <c r="R115" i="16"/>
  <c r="W115" i="16"/>
  <c r="E116" i="16"/>
  <c r="E117" i="16" s="1"/>
  <c r="F116" i="16"/>
  <c r="J116" i="16"/>
  <c r="K116" i="16"/>
  <c r="K117" i="16" s="1"/>
  <c r="S116" i="16"/>
  <c r="S117" i="16" s="1"/>
  <c r="V116" i="16"/>
  <c r="V117" i="16" s="1"/>
  <c r="J117" i="16"/>
  <c r="I117" i="16" l="1"/>
  <c r="W116" i="16"/>
  <c r="C117" i="16"/>
  <c r="Y46" i="16"/>
  <c r="H117" i="16"/>
  <c r="N90" i="16"/>
  <c r="X84" i="16"/>
  <c r="N67" i="16"/>
  <c r="N59" i="16"/>
  <c r="Y59" i="16" s="1"/>
  <c r="N51" i="16"/>
  <c r="Y51" i="16" s="1"/>
  <c r="Y35" i="16"/>
  <c r="F27" i="16"/>
  <c r="F28" i="16" s="1"/>
  <c r="U27" i="16"/>
  <c r="U28" i="16" s="1"/>
  <c r="R10" i="16"/>
  <c r="N9" i="16"/>
  <c r="R114" i="16"/>
  <c r="N113" i="16"/>
  <c r="F117" i="16"/>
  <c r="N92" i="16"/>
  <c r="J89" i="16"/>
  <c r="D89" i="16"/>
  <c r="D104" i="16" s="1"/>
  <c r="X86" i="16"/>
  <c r="V89" i="16"/>
  <c r="R81" i="16"/>
  <c r="N76" i="16"/>
  <c r="X67" i="16"/>
  <c r="N63" i="16"/>
  <c r="Y63" i="16" s="1"/>
  <c r="X56" i="16"/>
  <c r="X52" i="16"/>
  <c r="N49" i="16"/>
  <c r="Y49" i="16" s="1"/>
  <c r="R40" i="16"/>
  <c r="N17" i="16"/>
  <c r="N13" i="16"/>
  <c r="X9" i="16"/>
  <c r="X114" i="16"/>
  <c r="D21" i="5" s="1"/>
  <c r="X81" i="16"/>
  <c r="I104" i="16"/>
  <c r="I105" i="16" s="1"/>
  <c r="I118" i="16" s="1"/>
  <c r="H27" i="16"/>
  <c r="H28" i="16" s="1"/>
  <c r="M116" i="16"/>
  <c r="Y111" i="16"/>
  <c r="L117" i="16"/>
  <c r="M117" i="16" s="1"/>
  <c r="X94" i="16"/>
  <c r="Y94" i="16" s="1"/>
  <c r="R89" i="16"/>
  <c r="N65" i="16"/>
  <c r="X61" i="16"/>
  <c r="Y61" i="16" s="1"/>
  <c r="X60" i="16"/>
  <c r="X42" i="16"/>
  <c r="Y42" i="16" s="1"/>
  <c r="N26" i="16"/>
  <c r="W23" i="16"/>
  <c r="X21" i="16"/>
  <c r="N15" i="16"/>
  <c r="M114" i="16"/>
  <c r="N110" i="16"/>
  <c r="Y110" i="16" s="1"/>
  <c r="Y107" i="16"/>
  <c r="D12" i="5" s="1"/>
  <c r="G81" i="16"/>
  <c r="N77" i="16"/>
  <c r="Y77" i="16" s="1"/>
  <c r="X76" i="16"/>
  <c r="X68" i="16"/>
  <c r="U64" i="16"/>
  <c r="E64" i="16"/>
  <c r="W62" i="16"/>
  <c r="S64" i="16"/>
  <c r="K64" i="16"/>
  <c r="C64" i="16"/>
  <c r="W40" i="16"/>
  <c r="X40" i="16" s="1"/>
  <c r="N34" i="16"/>
  <c r="I27" i="16"/>
  <c r="I28" i="16" s="1"/>
  <c r="X19" i="16"/>
  <c r="Y19" i="16" s="1"/>
  <c r="X17" i="16"/>
  <c r="Y17" i="16" s="1"/>
  <c r="N16" i="16"/>
  <c r="Y16" i="16" s="1"/>
  <c r="T104" i="16"/>
  <c r="G112" i="16"/>
  <c r="N112" i="16" s="1"/>
  <c r="Y112" i="16" s="1"/>
  <c r="D114" i="16"/>
  <c r="R97" i="16"/>
  <c r="P100" i="16"/>
  <c r="R100" i="16" s="1"/>
  <c r="V96" i="16"/>
  <c r="W92" i="16"/>
  <c r="X92" i="16" s="1"/>
  <c r="Y88" i="16"/>
  <c r="Y84" i="16"/>
  <c r="Y82" i="16"/>
  <c r="Y75" i="16"/>
  <c r="H89" i="16"/>
  <c r="H104" i="16" s="1"/>
  <c r="R47" i="16"/>
  <c r="X47" i="16" s="1"/>
  <c r="Q104" i="16"/>
  <c r="X115" i="16"/>
  <c r="D22" i="5" s="1"/>
  <c r="H22" i="5" s="1"/>
  <c r="X113" i="16"/>
  <c r="Y113" i="16" s="1"/>
  <c r="G103" i="16"/>
  <c r="N103" i="16" s="1"/>
  <c r="G96" i="16"/>
  <c r="X90" i="16"/>
  <c r="N87" i="16"/>
  <c r="N74" i="16"/>
  <c r="Y74" i="16" s="1"/>
  <c r="X71" i="16"/>
  <c r="N71" i="16"/>
  <c r="W69" i="16"/>
  <c r="B64" i="16"/>
  <c r="F64" i="16"/>
  <c r="F104" i="16" s="1"/>
  <c r="F105" i="16" s="1"/>
  <c r="Y47" i="16"/>
  <c r="X24" i="16"/>
  <c r="G23" i="16"/>
  <c r="R14" i="16"/>
  <c r="X14" i="16" s="1"/>
  <c r="P18" i="16"/>
  <c r="X13" i="16"/>
  <c r="Y7" i="16"/>
  <c r="B117" i="16"/>
  <c r="P117" i="16"/>
  <c r="R117" i="16" s="1"/>
  <c r="R108" i="16"/>
  <c r="M108" i="16"/>
  <c r="M91" i="16"/>
  <c r="N91" i="16" s="1"/>
  <c r="Y91" i="16" s="1"/>
  <c r="J96" i="16"/>
  <c r="M96" i="16" s="1"/>
  <c r="M89" i="16"/>
  <c r="G89" i="16"/>
  <c r="Y80" i="16"/>
  <c r="S89" i="16"/>
  <c r="W89" i="16" s="1"/>
  <c r="M62" i="16"/>
  <c r="V104" i="16"/>
  <c r="Y36" i="16"/>
  <c r="K104" i="16"/>
  <c r="K182" i="3" s="1"/>
  <c r="N25" i="16"/>
  <c r="G8" i="16"/>
  <c r="D10" i="16"/>
  <c r="O116" i="16"/>
  <c r="W108" i="16"/>
  <c r="T117" i="16"/>
  <c r="W117" i="16" s="1"/>
  <c r="R102" i="16"/>
  <c r="X102" i="16" s="1"/>
  <c r="Y102" i="16" s="1"/>
  <c r="P103" i="16"/>
  <c r="R103" i="16" s="1"/>
  <c r="N99" i="16"/>
  <c r="Y99" i="16" s="1"/>
  <c r="W93" i="16"/>
  <c r="X93" i="16" s="1"/>
  <c r="S96" i="16"/>
  <c r="N93" i="16"/>
  <c r="X85" i="16"/>
  <c r="Y85" i="16" s="1"/>
  <c r="O89" i="16"/>
  <c r="P69" i="16"/>
  <c r="R69" i="16" s="1"/>
  <c r="X69" i="16" s="1"/>
  <c r="Y67" i="16"/>
  <c r="M66" i="16"/>
  <c r="J69" i="16"/>
  <c r="M69" i="16" s="1"/>
  <c r="J64" i="16"/>
  <c r="M64" i="16" s="1"/>
  <c r="G64" i="16"/>
  <c r="Y60" i="16"/>
  <c r="P62" i="16"/>
  <c r="R62" i="16" s="1"/>
  <c r="X62" i="16" s="1"/>
  <c r="N55" i="16"/>
  <c r="N40" i="16"/>
  <c r="L104" i="16"/>
  <c r="K181" i="3" s="1"/>
  <c r="N39" i="16"/>
  <c r="Y39" i="16" s="1"/>
  <c r="X34" i="16"/>
  <c r="Y34" i="16" s="1"/>
  <c r="U104" i="16"/>
  <c r="M33" i="16"/>
  <c r="J37" i="16"/>
  <c r="P27" i="16"/>
  <c r="N24" i="16"/>
  <c r="Y24" i="16" s="1"/>
  <c r="W18" i="16"/>
  <c r="T27" i="16"/>
  <c r="T28" i="16" s="1"/>
  <c r="L27" i="16"/>
  <c r="L28" i="16" s="1"/>
  <c r="W103" i="16"/>
  <c r="W97" i="16"/>
  <c r="V100" i="16"/>
  <c r="W100" i="16" s="1"/>
  <c r="Y83" i="16"/>
  <c r="X74" i="16"/>
  <c r="Y65" i="16"/>
  <c r="M53" i="16"/>
  <c r="N53" i="16" s="1"/>
  <c r="J100" i="16"/>
  <c r="M100" i="16" s="1"/>
  <c r="X87" i="16"/>
  <c r="C89" i="16"/>
  <c r="C104" i="16" s="1"/>
  <c r="K190" i="3" s="1"/>
  <c r="X78" i="16"/>
  <c r="Y78" i="16" s="1"/>
  <c r="N73" i="16"/>
  <c r="G68" i="16"/>
  <c r="N68" i="16" s="1"/>
  <c r="Y68" i="16" s="1"/>
  <c r="E69" i="16"/>
  <c r="E104" i="16" s="1"/>
  <c r="N66" i="16"/>
  <c r="Y66" i="16" s="1"/>
  <c r="N57" i="16"/>
  <c r="O64" i="16"/>
  <c r="O104" i="16" s="1"/>
  <c r="X43" i="16"/>
  <c r="Y43" i="16" s="1"/>
  <c r="M39" i="16"/>
  <c r="W33" i="16"/>
  <c r="S37" i="16"/>
  <c r="R32" i="16"/>
  <c r="X32" i="16" s="1"/>
  <c r="P37" i="16"/>
  <c r="X31" i="16"/>
  <c r="Y31" i="16" s="1"/>
  <c r="Y26" i="16"/>
  <c r="X25" i="16"/>
  <c r="B27" i="16"/>
  <c r="W10" i="16"/>
  <c r="C27" i="16"/>
  <c r="C28" i="16" s="1"/>
  <c r="G108" i="16"/>
  <c r="E100" i="16"/>
  <c r="G100" i="16" s="1"/>
  <c r="N100" i="16" s="1"/>
  <c r="X98" i="16"/>
  <c r="N98" i="16"/>
  <c r="Y98" i="16" s="1"/>
  <c r="N97" i="16"/>
  <c r="N86" i="16"/>
  <c r="M81" i="16"/>
  <c r="N81" i="16" s="1"/>
  <c r="Y81" i="16" s="1"/>
  <c r="N79" i="16"/>
  <c r="Y79" i="16" s="1"/>
  <c r="X73" i="16"/>
  <c r="N72" i="16"/>
  <c r="Y72" i="16" s="1"/>
  <c r="Y48" i="16"/>
  <c r="N44" i="16"/>
  <c r="Y44" i="16" s="1"/>
  <c r="N41" i="16"/>
  <c r="Y41" i="16" s="1"/>
  <c r="X39" i="16"/>
  <c r="X33" i="16"/>
  <c r="N33" i="16"/>
  <c r="Y33" i="16" s="1"/>
  <c r="J23" i="16"/>
  <c r="M22" i="16"/>
  <c r="N22" i="16" s="1"/>
  <c r="Y22" i="16" s="1"/>
  <c r="Y21" i="16"/>
  <c r="N20" i="16"/>
  <c r="Y20" i="16" s="1"/>
  <c r="V27" i="16"/>
  <c r="V28" i="16" s="1"/>
  <c r="M18" i="16"/>
  <c r="X15" i="16"/>
  <c r="Y15" i="16" s="1"/>
  <c r="R12" i="16"/>
  <c r="X12" i="16" s="1"/>
  <c r="Y12" i="16" s="1"/>
  <c r="Q18" i="16"/>
  <c r="Q27" i="16" s="1"/>
  <c r="Q28" i="16" s="1"/>
  <c r="Y11" i="16"/>
  <c r="Y9" i="16"/>
  <c r="X8" i="16"/>
  <c r="G62" i="16"/>
  <c r="N62" i="16" s="1"/>
  <c r="X57" i="16"/>
  <c r="X55" i="16"/>
  <c r="X51" i="16"/>
  <c r="X49" i="16"/>
  <c r="N32" i="16"/>
  <c r="Y32" i="16" s="1"/>
  <c r="N14" i="16"/>
  <c r="O27" i="16"/>
  <c r="M8" i="16"/>
  <c r="J10" i="16"/>
  <c r="N58" i="16"/>
  <c r="Y58" i="16" s="1"/>
  <c r="N56" i="16"/>
  <c r="Y56" i="16" s="1"/>
  <c r="N54" i="16"/>
  <c r="Y54" i="16" s="1"/>
  <c r="N52" i="16"/>
  <c r="Y52" i="16" s="1"/>
  <c r="N50" i="16"/>
  <c r="Y50" i="16" s="1"/>
  <c r="P53" i="16"/>
  <c r="R53" i="16" s="1"/>
  <c r="X53" i="16" s="1"/>
  <c r="R45" i="16"/>
  <c r="X45" i="16" s="1"/>
  <c r="N45" i="16"/>
  <c r="X38" i="16"/>
  <c r="Y38" i="16" s="1"/>
  <c r="X30" i="16"/>
  <c r="Y30" i="16" s="1"/>
  <c r="R23" i="16"/>
  <c r="K23" i="16"/>
  <c r="K27" i="16" s="1"/>
  <c r="K28" i="16" s="1"/>
  <c r="K105" i="16" s="1"/>
  <c r="K118" i="16" s="1"/>
  <c r="X20" i="16"/>
  <c r="G18" i="16"/>
  <c r="N18" i="16" s="1"/>
  <c r="S27" i="16"/>
  <c r="W96" i="16" l="1"/>
  <c r="X96" i="16" s="1"/>
  <c r="Y92" i="16"/>
  <c r="X10" i="16"/>
  <c r="Y86" i="16"/>
  <c r="U105" i="16"/>
  <c r="U118" i="16" s="1"/>
  <c r="Y13" i="16"/>
  <c r="F118" i="16"/>
  <c r="Y90" i="16"/>
  <c r="X23" i="16"/>
  <c r="X103" i="16"/>
  <c r="G69" i="16"/>
  <c r="N69" i="16" s="1"/>
  <c r="X97" i="16"/>
  <c r="Y97" i="16" s="1"/>
  <c r="Y76" i="16"/>
  <c r="L105" i="16"/>
  <c r="L118" i="16" s="1"/>
  <c r="N108" i="16"/>
  <c r="Y108" i="16" s="1"/>
  <c r="Y53" i="16"/>
  <c r="X89" i="16"/>
  <c r="N96" i="16"/>
  <c r="Y96" i="16" s="1"/>
  <c r="W64" i="16"/>
  <c r="K188" i="3"/>
  <c r="E105" i="16"/>
  <c r="E118" i="16" s="1"/>
  <c r="Y69" i="16"/>
  <c r="K185" i="3"/>
  <c r="H105" i="16"/>
  <c r="H118" i="16" s="1"/>
  <c r="W27" i="16"/>
  <c r="S28" i="16"/>
  <c r="Y62" i="16"/>
  <c r="X100" i="16"/>
  <c r="Y100" i="16" s="1"/>
  <c r="C105" i="16"/>
  <c r="C118" i="16" s="1"/>
  <c r="R27" i="16"/>
  <c r="X27" i="16" s="1"/>
  <c r="P28" i="16"/>
  <c r="N64" i="16"/>
  <c r="B104" i="16"/>
  <c r="Y14" i="16"/>
  <c r="T105" i="16"/>
  <c r="T118" i="16" s="1"/>
  <c r="X116" i="16"/>
  <c r="O117" i="16"/>
  <c r="X117" i="16" s="1"/>
  <c r="X108" i="16"/>
  <c r="Y103" i="16"/>
  <c r="P64" i="16"/>
  <c r="R64" i="16" s="1"/>
  <c r="X64" i="16" s="1"/>
  <c r="Y115" i="16"/>
  <c r="N8" i="16"/>
  <c r="Y8" i="16" s="1"/>
  <c r="O28" i="16"/>
  <c r="B28" i="16"/>
  <c r="W37" i="16"/>
  <c r="S104" i="16"/>
  <c r="W104" i="16" s="1"/>
  <c r="Q105" i="16"/>
  <c r="Q118" i="16" s="1"/>
  <c r="Y55" i="16"/>
  <c r="Y93" i="16"/>
  <c r="N89" i="16"/>
  <c r="Y89" i="16" s="1"/>
  <c r="Y40" i="16"/>
  <c r="Y45" i="16"/>
  <c r="M10" i="16"/>
  <c r="J27" i="16"/>
  <c r="V105" i="16"/>
  <c r="V118" i="16" s="1"/>
  <c r="M23" i="16"/>
  <c r="N23" i="16" s="1"/>
  <c r="R37" i="16"/>
  <c r="X37" i="16" s="1"/>
  <c r="P104" i="16"/>
  <c r="R104" i="16" s="1"/>
  <c r="Y57" i="16"/>
  <c r="Y73" i="16"/>
  <c r="M37" i="16"/>
  <c r="N37" i="16" s="1"/>
  <c r="Y37" i="16" s="1"/>
  <c r="J104" i="16"/>
  <c r="G104" i="16"/>
  <c r="G10" i="16"/>
  <c r="N10" i="16" s="1"/>
  <c r="Y10" i="16" s="1"/>
  <c r="D27" i="16"/>
  <c r="Y25" i="16"/>
  <c r="R18" i="16"/>
  <c r="X18" i="16" s="1"/>
  <c r="Y18" i="16" s="1"/>
  <c r="Y71" i="16"/>
  <c r="Y87" i="16"/>
  <c r="D116" i="16"/>
  <c r="K184" i="3"/>
  <c r="G114" i="16"/>
  <c r="N114" i="16" s="1"/>
  <c r="X104" i="16" l="1"/>
  <c r="Y23" i="16"/>
  <c r="G27" i="16"/>
  <c r="D28" i="16"/>
  <c r="M104" i="16"/>
  <c r="N104" i="16" s="1"/>
  <c r="Y104" i="16" s="1"/>
  <c r="K183" i="3"/>
  <c r="M27" i="16"/>
  <c r="J28" i="16"/>
  <c r="Y64" i="16"/>
  <c r="Y114" i="16"/>
  <c r="F21" i="5"/>
  <c r="O105" i="16"/>
  <c r="R28" i="16"/>
  <c r="X28" i="16" s="1"/>
  <c r="P105" i="16"/>
  <c r="W28" i="16"/>
  <c r="S105" i="16"/>
  <c r="D117" i="16"/>
  <c r="G117" i="16" s="1"/>
  <c r="N117" i="16" s="1"/>
  <c r="Y117" i="16" s="1"/>
  <c r="G116" i="16"/>
  <c r="N116" i="16" s="1"/>
  <c r="Y116" i="16" s="1"/>
  <c r="B105" i="16"/>
  <c r="B118" i="16" l="1"/>
  <c r="W105" i="16"/>
  <c r="S118" i="16"/>
  <c r="W118" i="16" s="1"/>
  <c r="O118" i="16"/>
  <c r="M28" i="16"/>
  <c r="J105" i="16"/>
  <c r="G28" i="16"/>
  <c r="D105" i="16"/>
  <c r="I187" i="3"/>
  <c r="R105" i="16"/>
  <c r="X105" i="16" s="1"/>
  <c r="P118" i="16"/>
  <c r="R118" i="16" s="1"/>
  <c r="N27" i="16"/>
  <c r="Y27" i="16" s="1"/>
  <c r="G105" i="16" l="1"/>
  <c r="D118" i="16"/>
  <c r="G118" i="16" s="1"/>
  <c r="X118" i="16"/>
  <c r="M105" i="16"/>
  <c r="J118" i="16"/>
  <c r="M118" i="16" s="1"/>
  <c r="N118" i="16" s="1"/>
  <c r="N28" i="16"/>
  <c r="Y28" i="16" s="1"/>
  <c r="Y118" i="16" l="1"/>
  <c r="N105" i="16"/>
  <c r="Y105" i="16" s="1"/>
  <c r="G164" i="3" l="1"/>
  <c r="G148" i="3"/>
  <c r="G141" i="3"/>
  <c r="G113" i="3" l="1"/>
  <c r="G114" i="3"/>
  <c r="G112" i="3" s="1"/>
  <c r="G116" i="3" l="1"/>
  <c r="D50" i="4" l="1"/>
  <c r="B50" i="4"/>
  <c r="B13" i="4"/>
  <c r="K27" i="10"/>
  <c r="K28" i="10"/>
  <c r="K29" i="10"/>
  <c r="K30" i="10"/>
  <c r="K31" i="10"/>
  <c r="K32" i="10"/>
  <c r="K33" i="10"/>
  <c r="K34" i="10"/>
  <c r="K35" i="10"/>
  <c r="K36" i="10"/>
  <c r="K37" i="10"/>
  <c r="K26" i="10"/>
  <c r="W39" i="10"/>
  <c r="W27" i="10"/>
  <c r="W28" i="10"/>
  <c r="W29" i="10"/>
  <c r="W30" i="10"/>
  <c r="W31" i="10"/>
  <c r="W32" i="10"/>
  <c r="W33" i="10"/>
  <c r="W34" i="10"/>
  <c r="W35" i="10"/>
  <c r="W36" i="10"/>
  <c r="W37" i="10"/>
  <c r="W26" i="10"/>
  <c r="U38" i="10"/>
  <c r="V38" i="10"/>
  <c r="V39" i="10" s="1"/>
  <c r="V37" i="10"/>
  <c r="I38" i="10"/>
  <c r="L38" i="10"/>
  <c r="H38" i="10"/>
  <c r="R39" i="10"/>
  <c r="P26" i="10"/>
  <c r="O26" i="10"/>
  <c r="H26" i="10"/>
  <c r="R26" i="10"/>
  <c r="L39" i="10"/>
  <c r="L27" i="10"/>
  <c r="L28" i="10"/>
  <c r="L29" i="10"/>
  <c r="L30" i="10"/>
  <c r="L31" i="10"/>
  <c r="L32" i="10"/>
  <c r="L33" i="10"/>
  <c r="L34" i="10"/>
  <c r="L35" i="10"/>
  <c r="L36" i="10"/>
  <c r="L37" i="10"/>
  <c r="L26" i="10"/>
  <c r="J26" i="10"/>
  <c r="I27" i="10"/>
  <c r="I28" i="10"/>
  <c r="I29" i="10"/>
  <c r="I30" i="10"/>
  <c r="I31" i="10"/>
  <c r="I32" i="10"/>
  <c r="I33" i="10"/>
  <c r="I34" i="10"/>
  <c r="I35" i="10"/>
  <c r="I36" i="10"/>
  <c r="I37" i="10"/>
  <c r="I26" i="10"/>
  <c r="M9" i="10"/>
  <c r="M10" i="10"/>
  <c r="M11" i="10"/>
  <c r="M12" i="10"/>
  <c r="M13" i="10"/>
  <c r="M14" i="10"/>
  <c r="M15" i="10"/>
  <c r="M16" i="10"/>
  <c r="M17" i="10"/>
  <c r="M18" i="10"/>
  <c r="M19" i="10"/>
  <c r="M8" i="10"/>
  <c r="H20" i="10"/>
  <c r="I20" i="10"/>
  <c r="K38" i="10" l="1"/>
  <c r="K39" i="10" s="1"/>
  <c r="M26" i="10"/>
  <c r="X26" i="10" s="1"/>
  <c r="W38" i="10"/>
  <c r="M31" i="3"/>
  <c r="O31" i="3"/>
  <c r="Q31" i="3"/>
  <c r="S31" i="3"/>
  <c r="T31" i="3"/>
  <c r="U31" i="3"/>
  <c r="W31" i="3"/>
  <c r="G78" i="3"/>
  <c r="G73" i="3"/>
  <c r="G24" i="3"/>
  <c r="G39" i="3"/>
  <c r="D15" i="6"/>
  <c r="M82" i="3"/>
  <c r="M85" i="3"/>
  <c r="M77" i="3"/>
  <c r="M74" i="3"/>
  <c r="B55" i="7"/>
  <c r="B54" i="7"/>
  <c r="B46" i="7"/>
  <c r="B42" i="7"/>
  <c r="B35" i="7"/>
  <c r="B27" i="7"/>
  <c r="G32" i="14"/>
  <c r="G22" i="14"/>
  <c r="E18" i="13"/>
  <c r="C12" i="8"/>
  <c r="C21" i="8"/>
  <c r="I39" i="3" l="1"/>
  <c r="I63" i="3"/>
  <c r="I10" i="3"/>
  <c r="K10" i="3" s="1"/>
  <c r="I185" i="3"/>
  <c r="I190" i="3"/>
  <c r="I23" i="3"/>
  <c r="I181" i="3"/>
  <c r="I52" i="3"/>
  <c r="I182" i="3"/>
  <c r="G25" i="3"/>
  <c r="G27" i="3"/>
  <c r="K73" i="3"/>
  <c r="G63" i="3"/>
  <c r="I188" i="3"/>
  <c r="G52" i="3"/>
  <c r="G54" i="3"/>
  <c r="I62" i="3"/>
  <c r="I64" i="3"/>
  <c r="E5" i="13"/>
  <c r="E11" i="13"/>
  <c r="E12" i="13"/>
  <c r="C10" i="8"/>
  <c r="E6" i="13"/>
  <c r="E13" i="13"/>
  <c r="E3" i="13"/>
  <c r="C9" i="8"/>
  <c r="E9" i="13"/>
  <c r="E4" i="13"/>
  <c r="E7" i="13"/>
  <c r="E14" i="13"/>
  <c r="B77" i="12"/>
  <c r="W68" i="12"/>
  <c r="R68" i="12"/>
  <c r="R73" i="12" s="1"/>
  <c r="R66" i="12"/>
  <c r="O66" i="12"/>
  <c r="O68" i="12" s="1"/>
  <c r="N66" i="12"/>
  <c r="N68" i="12" s="1"/>
  <c r="M66" i="12"/>
  <c r="M68" i="12" s="1"/>
  <c r="M91" i="3" s="1"/>
  <c r="M103" i="3" s="1"/>
  <c r="W65" i="12"/>
  <c r="S65" i="12"/>
  <c r="P65" i="12"/>
  <c r="J65" i="12"/>
  <c r="K65" i="12" s="1"/>
  <c r="T65" i="12" s="1"/>
  <c r="W64" i="12"/>
  <c r="W66" i="12" s="1"/>
  <c r="S64" i="12"/>
  <c r="P64" i="12"/>
  <c r="J64" i="12"/>
  <c r="K64" i="12" s="1"/>
  <c r="S60" i="12"/>
  <c r="O60" i="12"/>
  <c r="N60" i="12"/>
  <c r="M60" i="12"/>
  <c r="W57" i="12"/>
  <c r="T57" i="12"/>
  <c r="U57" i="12" s="1"/>
  <c r="P57" i="12"/>
  <c r="X57" i="12" s="1"/>
  <c r="J57" i="12"/>
  <c r="K57" i="12" s="1"/>
  <c r="W56" i="12"/>
  <c r="W60" i="12" s="1"/>
  <c r="P56" i="12"/>
  <c r="P60" i="12" s="1"/>
  <c r="K56" i="12"/>
  <c r="T56" i="12" s="1"/>
  <c r="J56" i="12"/>
  <c r="S50" i="12"/>
  <c r="O50" i="12"/>
  <c r="N50" i="12"/>
  <c r="N53" i="12" s="1"/>
  <c r="M50" i="12"/>
  <c r="M53" i="12" s="1"/>
  <c r="W49" i="12"/>
  <c r="T49" i="12"/>
  <c r="U49" i="12" s="1"/>
  <c r="P49" i="12"/>
  <c r="X49" i="12" s="1"/>
  <c r="J49" i="12"/>
  <c r="K49" i="12" s="1"/>
  <c r="W48" i="12"/>
  <c r="W50" i="12" s="1"/>
  <c r="P48" i="12"/>
  <c r="P50" i="12" s="1"/>
  <c r="K48" i="12"/>
  <c r="T48" i="12" s="1"/>
  <c r="J48" i="12"/>
  <c r="O46" i="12"/>
  <c r="O53" i="12" s="1"/>
  <c r="N46" i="12"/>
  <c r="M46" i="12"/>
  <c r="W43" i="12"/>
  <c r="S43" i="12"/>
  <c r="U43" i="12" s="1"/>
  <c r="P43" i="12"/>
  <c r="X43" i="12" s="1"/>
  <c r="J43" i="12"/>
  <c r="K43" i="12" s="1"/>
  <c r="T43" i="12" s="1"/>
  <c r="W42" i="12"/>
  <c r="S42" i="12"/>
  <c r="P42" i="12"/>
  <c r="J42" i="12"/>
  <c r="K42" i="12" s="1"/>
  <c r="T42" i="12" s="1"/>
  <c r="W41" i="12"/>
  <c r="S41" i="12"/>
  <c r="P41" i="12"/>
  <c r="J41" i="12"/>
  <c r="K41" i="12" s="1"/>
  <c r="T41" i="12" s="1"/>
  <c r="W40" i="12"/>
  <c r="S40" i="12"/>
  <c r="P40" i="12"/>
  <c r="J40" i="12"/>
  <c r="K40" i="12" s="1"/>
  <c r="W39" i="12"/>
  <c r="S39" i="12"/>
  <c r="P39" i="12"/>
  <c r="J39" i="12"/>
  <c r="K39" i="12" s="1"/>
  <c r="T39" i="12" s="1"/>
  <c r="I39" i="12"/>
  <c r="W38" i="12"/>
  <c r="P38" i="12"/>
  <c r="J38" i="12"/>
  <c r="I38" i="12"/>
  <c r="W37" i="12"/>
  <c r="S37" i="12"/>
  <c r="P37" i="12"/>
  <c r="J37" i="12"/>
  <c r="K37" i="12" s="1"/>
  <c r="T37" i="12" s="1"/>
  <c r="U37" i="12" s="1"/>
  <c r="X37" i="12" s="1"/>
  <c r="I37" i="12"/>
  <c r="W36" i="12"/>
  <c r="S36" i="12"/>
  <c r="P36" i="12"/>
  <c r="J36" i="12"/>
  <c r="K36" i="12" s="1"/>
  <c r="T36" i="12" s="1"/>
  <c r="U36" i="12" s="1"/>
  <c r="I36" i="12"/>
  <c r="U35" i="12"/>
  <c r="S35" i="12"/>
  <c r="P35" i="12"/>
  <c r="P46" i="12" s="1"/>
  <c r="K35" i="12"/>
  <c r="T35" i="12" s="1"/>
  <c r="W35" i="12" s="1"/>
  <c r="J35" i="12"/>
  <c r="I35" i="12"/>
  <c r="F35" i="12"/>
  <c r="S34" i="12"/>
  <c r="P34" i="12"/>
  <c r="K34" i="12"/>
  <c r="T34" i="12" s="1"/>
  <c r="J34" i="12"/>
  <c r="I34" i="12"/>
  <c r="F34" i="12"/>
  <c r="S31" i="12"/>
  <c r="O31" i="12"/>
  <c r="W29" i="12"/>
  <c r="W31" i="12" s="1"/>
  <c r="S29" i="12"/>
  <c r="O29" i="12"/>
  <c r="N29" i="12"/>
  <c r="N31" i="12" s="1"/>
  <c r="M29" i="12"/>
  <c r="M31" i="12" s="1"/>
  <c r="W28" i="12"/>
  <c r="P28" i="12"/>
  <c r="P29" i="12" s="1"/>
  <c r="P31" i="12" s="1"/>
  <c r="J28" i="12"/>
  <c r="K28" i="12" s="1"/>
  <c r="T28" i="12" s="1"/>
  <c r="S25" i="12"/>
  <c r="M25" i="12"/>
  <c r="S23" i="12"/>
  <c r="O23" i="12"/>
  <c r="O25" i="12" s="1"/>
  <c r="O73" i="12" s="1"/>
  <c r="M23" i="12"/>
  <c r="W22" i="12"/>
  <c r="W23" i="12" s="1"/>
  <c r="N22" i="12"/>
  <c r="P22" i="12" s="1"/>
  <c r="J22" i="12"/>
  <c r="K22" i="12" s="1"/>
  <c r="T22" i="12" s="1"/>
  <c r="I22" i="12"/>
  <c r="F22" i="12"/>
  <c r="S20" i="12"/>
  <c r="O20" i="12"/>
  <c r="N20" i="12"/>
  <c r="M20" i="12"/>
  <c r="W19" i="12"/>
  <c r="P19" i="12"/>
  <c r="J19" i="12"/>
  <c r="K19" i="12" s="1"/>
  <c r="T19" i="12" s="1"/>
  <c r="U19" i="12" s="1"/>
  <c r="W18" i="12"/>
  <c r="T18" i="12"/>
  <c r="U18" i="12" s="1"/>
  <c r="P18" i="12"/>
  <c r="X18" i="12" s="1"/>
  <c r="K18" i="12"/>
  <c r="J18" i="12"/>
  <c r="W17" i="12"/>
  <c r="P17" i="12"/>
  <c r="J17" i="12"/>
  <c r="K17" i="12" s="1"/>
  <c r="T17" i="12" s="1"/>
  <c r="U17" i="12" s="1"/>
  <c r="X17" i="12" s="1"/>
  <c r="I17" i="12"/>
  <c r="F17" i="12"/>
  <c r="W16" i="12"/>
  <c r="P16" i="12"/>
  <c r="K16" i="12"/>
  <c r="T16" i="12" s="1"/>
  <c r="U16" i="12" s="1"/>
  <c r="X16" i="12" s="1"/>
  <c r="J16" i="12"/>
  <c r="I16" i="12"/>
  <c r="F16" i="12"/>
  <c r="W15" i="12"/>
  <c r="P15" i="12"/>
  <c r="X15" i="12" s="1"/>
  <c r="J15" i="12"/>
  <c r="K15" i="12" s="1"/>
  <c r="T15" i="12" s="1"/>
  <c r="U15" i="12" s="1"/>
  <c r="I15" i="12"/>
  <c r="F15" i="12"/>
  <c r="W14" i="12"/>
  <c r="P14" i="12"/>
  <c r="J14" i="12"/>
  <c r="K14" i="12" s="1"/>
  <c r="T14" i="12" s="1"/>
  <c r="U14" i="12" s="1"/>
  <c r="I14" i="12"/>
  <c r="F14" i="12"/>
  <c r="W13" i="12"/>
  <c r="P13" i="12"/>
  <c r="J13" i="12"/>
  <c r="K13" i="12" s="1"/>
  <c r="T13" i="12" s="1"/>
  <c r="U13" i="12" s="1"/>
  <c r="X13" i="12" s="1"/>
  <c r="I13" i="12"/>
  <c r="F13" i="12"/>
  <c r="W12" i="12"/>
  <c r="P12" i="12"/>
  <c r="K12" i="12"/>
  <c r="T12" i="12" s="1"/>
  <c r="U12" i="12" s="1"/>
  <c r="X12" i="12" s="1"/>
  <c r="J12" i="12"/>
  <c r="I12" i="12"/>
  <c r="F12" i="12"/>
  <c r="W11" i="12"/>
  <c r="P11" i="12"/>
  <c r="P20" i="12" s="1"/>
  <c r="J11" i="12"/>
  <c r="K11" i="12" s="1"/>
  <c r="T11" i="12" s="1"/>
  <c r="U11" i="12" s="1"/>
  <c r="I11" i="12"/>
  <c r="F11" i="12"/>
  <c r="W10" i="12"/>
  <c r="P10" i="12"/>
  <c r="J10" i="12"/>
  <c r="K10" i="12" s="1"/>
  <c r="T10" i="12" s="1"/>
  <c r="U10" i="12" s="1"/>
  <c r="I10" i="12"/>
  <c r="F10" i="12"/>
  <c r="W9" i="12"/>
  <c r="P9" i="12"/>
  <c r="J9" i="12"/>
  <c r="K9" i="12" s="1"/>
  <c r="T9" i="12" s="1"/>
  <c r="U9" i="12" s="1"/>
  <c r="X9" i="12" s="1"/>
  <c r="I9" i="12"/>
  <c r="F9" i="12"/>
  <c r="W8" i="12"/>
  <c r="W20" i="12" s="1"/>
  <c r="P8" i="12"/>
  <c r="K8" i="12"/>
  <c r="T8" i="12" s="1"/>
  <c r="J8" i="12"/>
  <c r="I8" i="12"/>
  <c r="F8" i="12"/>
  <c r="K76" i="3" l="1"/>
  <c r="I54" i="3"/>
  <c r="I76" i="3"/>
  <c r="G23" i="3"/>
  <c r="G29" i="3" s="1"/>
  <c r="I24" i="3"/>
  <c r="K24" i="3" s="1"/>
  <c r="I27" i="3"/>
  <c r="K27" i="3" s="1"/>
  <c r="I57" i="3"/>
  <c r="G57" i="3"/>
  <c r="P53" i="12"/>
  <c r="W25" i="12"/>
  <c r="U8" i="12"/>
  <c r="T20" i="12"/>
  <c r="X19" i="12"/>
  <c r="U22" i="12"/>
  <c r="U23" i="12" s="1"/>
  <c r="T23" i="12"/>
  <c r="T29" i="12"/>
  <c r="T31" i="12" s="1"/>
  <c r="E84" i="12" s="1"/>
  <c r="U28" i="12"/>
  <c r="U29" i="12" s="1"/>
  <c r="U31" i="12" s="1"/>
  <c r="W34" i="12"/>
  <c r="W46" i="12" s="1"/>
  <c r="W53" i="12" s="1"/>
  <c r="U34" i="12"/>
  <c r="P66" i="12"/>
  <c r="P68" i="12" s="1"/>
  <c r="X11" i="12"/>
  <c r="X28" i="12"/>
  <c r="X29" i="12" s="1"/>
  <c r="X31" i="12" s="1"/>
  <c r="S66" i="12"/>
  <c r="S68" i="12" s="1"/>
  <c r="U64" i="12"/>
  <c r="X10" i="12"/>
  <c r="X14" i="12"/>
  <c r="P23" i="12"/>
  <c r="P25" i="12" s="1"/>
  <c r="X22" i="12"/>
  <c r="X23" i="12" s="1"/>
  <c r="S46" i="12"/>
  <c r="X35" i="12"/>
  <c r="X36" i="12"/>
  <c r="U39" i="12"/>
  <c r="X39" i="12" s="1"/>
  <c r="U41" i="12"/>
  <c r="X41" i="12" s="1"/>
  <c r="U48" i="12"/>
  <c r="T50" i="12"/>
  <c r="U65" i="12"/>
  <c r="X65" i="12" s="1"/>
  <c r="M73" i="12"/>
  <c r="K38" i="12"/>
  <c r="T38" i="12" s="1"/>
  <c r="U38" i="12" s="1"/>
  <c r="X38" i="12" s="1"/>
  <c r="T40" i="12"/>
  <c r="U40" i="12" s="1"/>
  <c r="X40" i="12" s="1"/>
  <c r="N23" i="12"/>
  <c r="N25" i="12" s="1"/>
  <c r="N73" i="12" s="1"/>
  <c r="U42" i="12"/>
  <c r="X42" i="12" s="1"/>
  <c r="S53" i="12"/>
  <c r="S73" i="12" s="1"/>
  <c r="U56" i="12"/>
  <c r="U60" i="12" s="1"/>
  <c r="T60" i="12"/>
  <c r="T64" i="12"/>
  <c r="T66" i="12" s="1"/>
  <c r="T68" i="12" s="1"/>
  <c r="U66" i="12" l="1"/>
  <c r="U68" i="12" s="1"/>
  <c r="E85" i="12"/>
  <c r="M98" i="3"/>
  <c r="K57" i="3"/>
  <c r="I58" i="3"/>
  <c r="G53" i="3"/>
  <c r="G55" i="3" s="1"/>
  <c r="I25" i="3"/>
  <c r="I29" i="3" s="1"/>
  <c r="I183" i="3"/>
  <c r="D92" i="12"/>
  <c r="E91" i="12"/>
  <c r="P73" i="12"/>
  <c r="T46" i="12"/>
  <c r="T53" i="12" s="1"/>
  <c r="E83" i="12" s="1"/>
  <c r="T25" i="12"/>
  <c r="U20" i="12"/>
  <c r="U25" i="12" s="1"/>
  <c r="X8" i="12"/>
  <c r="X20" i="12" s="1"/>
  <c r="X25" i="12" s="1"/>
  <c r="X56" i="12"/>
  <c r="X60" i="12" s="1"/>
  <c r="U50" i="12"/>
  <c r="U53" i="12" s="1"/>
  <c r="X48" i="12"/>
  <c r="X50" i="12" s="1"/>
  <c r="X64" i="12"/>
  <c r="X66" i="12" s="1"/>
  <c r="X68" i="12" s="1"/>
  <c r="D81" i="12"/>
  <c r="E80" i="12"/>
  <c r="U46" i="12"/>
  <c r="X34" i="12"/>
  <c r="X46" i="12" s="1"/>
  <c r="W73" i="12"/>
  <c r="M100" i="3" l="1"/>
  <c r="U73" i="12"/>
  <c r="E86" i="12"/>
  <c r="D88" i="12" s="1"/>
  <c r="D94" i="12" s="1"/>
  <c r="T73" i="12"/>
  <c r="E94" i="12"/>
  <c r="X53" i="12"/>
  <c r="X73" i="12" s="1"/>
  <c r="C8" i="10" l="1"/>
  <c r="B27" i="4"/>
  <c r="D27" i="4"/>
  <c r="U94" i="2" l="1" a="1"/>
  <c r="U94" i="2" s="1"/>
  <c r="V94" i="2" a="1"/>
  <c r="V94" i="2" s="1"/>
  <c r="X94" i="2" a="1"/>
  <c r="X94" i="2" s="1"/>
  <c r="Y94" i="2" a="1"/>
  <c r="Y94" i="2" s="1"/>
  <c r="Z94" i="2" a="1"/>
  <c r="Z94" i="2" s="1"/>
  <c r="U95" i="2" a="1"/>
  <c r="U95" i="2" s="1"/>
  <c r="V95" i="2" a="1"/>
  <c r="V95" i="2" s="1"/>
  <c r="X95" i="2" a="1"/>
  <c r="X95" i="2" s="1"/>
  <c r="Y95" i="2" a="1"/>
  <c r="Y95" i="2" s="1"/>
  <c r="Z95" i="2" a="1"/>
  <c r="Z95" i="2" s="1"/>
  <c r="U96" i="2" a="1"/>
  <c r="U96" i="2" s="1"/>
  <c r="V96" i="2" a="1"/>
  <c r="V96" i="2" s="1"/>
  <c r="X96" i="2" a="1"/>
  <c r="X96" i="2" s="1"/>
  <c r="Y96" i="2" a="1"/>
  <c r="Y96" i="2" s="1"/>
  <c r="Z96" i="2" a="1"/>
  <c r="Z96" i="2" s="1"/>
  <c r="U97" i="2" a="1"/>
  <c r="U97" i="2" s="1"/>
  <c r="V97" i="2" a="1"/>
  <c r="V97" i="2" s="1"/>
  <c r="W97" i="2" a="1"/>
  <c r="W97" i="2" s="1"/>
  <c r="X97" i="2" a="1"/>
  <c r="X97" i="2" s="1"/>
  <c r="Y97" i="2" a="1"/>
  <c r="Y97" i="2" s="1"/>
  <c r="Z97" i="2" a="1"/>
  <c r="Z97" i="2" s="1"/>
  <c r="C7" i="2" a="1"/>
  <c r="C7" i="2" s="1"/>
  <c r="D7" i="2" a="1"/>
  <c r="D7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K7" i="2" a="1"/>
  <c r="K7" i="2" s="1"/>
  <c r="L7" i="2" a="1"/>
  <c r="L7" i="2" s="1"/>
  <c r="M7" i="2" a="1"/>
  <c r="M7" i="2" s="1"/>
  <c r="N7" i="2" a="1"/>
  <c r="N7" i="2" s="1"/>
  <c r="O7" i="2" a="1"/>
  <c r="O7" i="2" s="1"/>
  <c r="P7" i="2" a="1"/>
  <c r="P7" i="2" s="1"/>
  <c r="Q7" i="2" a="1"/>
  <c r="Q7" i="2" s="1"/>
  <c r="R7" i="2" a="1"/>
  <c r="R7" i="2" s="1"/>
  <c r="S7" i="2" a="1"/>
  <c r="S7" i="2" s="1"/>
  <c r="T7" i="2" a="1"/>
  <c r="T7" i="2" s="1"/>
  <c r="U7" i="2" a="1"/>
  <c r="U7" i="2" s="1"/>
  <c r="V7" i="2" a="1"/>
  <c r="V7" i="2" s="1"/>
  <c r="W7" i="2" a="1"/>
  <c r="W7" i="2" s="1"/>
  <c r="X7" i="2" a="1"/>
  <c r="X7" i="2" s="1"/>
  <c r="Y7" i="2" a="1"/>
  <c r="Y7" i="2" s="1"/>
  <c r="Z7" i="2" a="1"/>
  <c r="Z7" i="2" s="1"/>
  <c r="AA7" i="2" a="1"/>
  <c r="AA7" i="2" s="1"/>
  <c r="AB7" i="2" a="1"/>
  <c r="AB7" i="2" s="1"/>
  <c r="AC7" i="2" a="1"/>
  <c r="AC7" i="2" s="1"/>
  <c r="C8" i="2" a="1"/>
  <c r="C8" i="2" s="1"/>
  <c r="D8" i="2" a="1"/>
  <c r="D8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K8" i="2" a="1"/>
  <c r="K8" i="2" s="1"/>
  <c r="L8" i="2" a="1"/>
  <c r="L8" i="2" s="1"/>
  <c r="M8" i="2" a="1"/>
  <c r="M8" i="2" s="1"/>
  <c r="N8" i="2" a="1"/>
  <c r="N8" i="2" s="1"/>
  <c r="O8" i="2" a="1"/>
  <c r="O8" i="2" s="1"/>
  <c r="P8" i="2" a="1"/>
  <c r="P8" i="2" s="1"/>
  <c r="Q8" i="2" a="1"/>
  <c r="Q8" i="2" s="1"/>
  <c r="R8" i="2" a="1"/>
  <c r="R8" i="2" s="1"/>
  <c r="S8" i="2" a="1"/>
  <c r="S8" i="2" s="1"/>
  <c r="T8" i="2" a="1"/>
  <c r="T8" i="2" s="1"/>
  <c r="U8" i="2" a="1"/>
  <c r="U8" i="2" s="1"/>
  <c r="V8" i="2" a="1"/>
  <c r="V8" i="2" s="1"/>
  <c r="W8" i="2" a="1"/>
  <c r="W8" i="2" s="1"/>
  <c r="X8" i="2" a="1"/>
  <c r="X8" i="2" s="1"/>
  <c r="Y8" i="2" a="1"/>
  <c r="Y8" i="2" s="1"/>
  <c r="Z8" i="2" a="1"/>
  <c r="Z8" i="2" s="1"/>
  <c r="AA8" i="2" a="1"/>
  <c r="AA8" i="2" s="1"/>
  <c r="AB8" i="2" a="1"/>
  <c r="AB8" i="2" s="1"/>
  <c r="AC8" i="2" a="1"/>
  <c r="AC8" i="2" s="1"/>
  <c r="C9" i="2" a="1"/>
  <c r="C9" i="2" s="1"/>
  <c r="D9" i="2" a="1"/>
  <c r="D9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L9" i="2" a="1"/>
  <c r="L9" i="2" s="1"/>
  <c r="M9" i="2" a="1"/>
  <c r="M9" i="2" s="1"/>
  <c r="N9" i="2" a="1"/>
  <c r="N9" i="2" s="1"/>
  <c r="O9" i="2" a="1"/>
  <c r="O9" i="2" s="1"/>
  <c r="P9" i="2" a="1"/>
  <c r="P9" i="2" s="1"/>
  <c r="Q9" i="2" a="1"/>
  <c r="Q9" i="2" s="1"/>
  <c r="R9" i="2" a="1"/>
  <c r="R9" i="2" s="1"/>
  <c r="S9" i="2" a="1"/>
  <c r="S9" i="2" s="1"/>
  <c r="T9" i="2" a="1"/>
  <c r="T9" i="2" s="1"/>
  <c r="U9" i="2" a="1"/>
  <c r="U9" i="2" s="1"/>
  <c r="V9" i="2" a="1"/>
  <c r="V9" i="2" s="1"/>
  <c r="W9" i="2" a="1"/>
  <c r="W9" i="2" s="1"/>
  <c r="X9" i="2" a="1"/>
  <c r="X9" i="2" s="1"/>
  <c r="Y9" i="2" a="1"/>
  <c r="Y9" i="2" s="1"/>
  <c r="Z9" i="2" a="1"/>
  <c r="Z9" i="2" s="1"/>
  <c r="AA9" i="2" a="1"/>
  <c r="AA9" i="2" s="1"/>
  <c r="AB9" i="2" a="1"/>
  <c r="AB9" i="2" s="1"/>
  <c r="AC9" i="2" a="1"/>
  <c r="AC9" i="2" s="1"/>
  <c r="C11" i="2" a="1"/>
  <c r="C11" i="2" s="1"/>
  <c r="D11" i="2" a="1"/>
  <c r="D11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K11" i="2" a="1"/>
  <c r="K11" i="2" s="1"/>
  <c r="L11" i="2" a="1"/>
  <c r="L11" i="2" s="1"/>
  <c r="M11" i="2" a="1"/>
  <c r="M11" i="2" s="1"/>
  <c r="N11" i="2" a="1"/>
  <c r="N11" i="2" s="1"/>
  <c r="O11" i="2" a="1"/>
  <c r="O11" i="2" s="1"/>
  <c r="P11" i="2" a="1"/>
  <c r="P11" i="2" s="1"/>
  <c r="Q11" i="2" a="1"/>
  <c r="Q11" i="2" s="1"/>
  <c r="R11" i="2" a="1"/>
  <c r="R11" i="2" s="1"/>
  <c r="S11" i="2" a="1"/>
  <c r="S11" i="2" s="1"/>
  <c r="T11" i="2" a="1"/>
  <c r="T11" i="2" s="1"/>
  <c r="U11" i="2" a="1"/>
  <c r="U11" i="2" s="1"/>
  <c r="V11" i="2" a="1"/>
  <c r="V11" i="2" s="1"/>
  <c r="W11" i="2" a="1"/>
  <c r="W11" i="2" s="1"/>
  <c r="X11" i="2" a="1"/>
  <c r="X11" i="2" s="1"/>
  <c r="Y11" i="2" a="1"/>
  <c r="Y11" i="2" s="1"/>
  <c r="Z11" i="2" a="1"/>
  <c r="Z11" i="2" s="1"/>
  <c r="AA11" i="2" a="1"/>
  <c r="AA11" i="2" s="1"/>
  <c r="AB11" i="2" a="1"/>
  <c r="AB11" i="2" s="1"/>
  <c r="AC11" i="2" a="1"/>
  <c r="AC11" i="2" s="1"/>
  <c r="C12" i="2" a="1"/>
  <c r="C12" i="2" s="1"/>
  <c r="D12" i="2" a="1"/>
  <c r="D12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N12" i="2" a="1"/>
  <c r="N12" i="2" s="1"/>
  <c r="O12" i="2" a="1"/>
  <c r="O12" i="2" s="1"/>
  <c r="P12" i="2" a="1"/>
  <c r="P12" i="2" s="1"/>
  <c r="Q12" i="2" a="1"/>
  <c r="Q12" i="2" s="1"/>
  <c r="R12" i="2" a="1"/>
  <c r="R12" i="2" s="1"/>
  <c r="S12" i="2" a="1"/>
  <c r="S12" i="2" s="1"/>
  <c r="T12" i="2" a="1"/>
  <c r="T12" i="2" s="1"/>
  <c r="U12" i="2" a="1"/>
  <c r="U12" i="2" s="1"/>
  <c r="V12" i="2" a="1"/>
  <c r="V12" i="2" s="1"/>
  <c r="W12" i="2" a="1"/>
  <c r="W12" i="2" s="1"/>
  <c r="X12" i="2" a="1"/>
  <c r="X12" i="2" s="1"/>
  <c r="Y12" i="2" a="1"/>
  <c r="Y12" i="2" s="1"/>
  <c r="Z12" i="2" a="1"/>
  <c r="Z12" i="2" s="1"/>
  <c r="AA12" i="2" a="1"/>
  <c r="AA12" i="2" s="1"/>
  <c r="AB12" i="2" a="1"/>
  <c r="AB12" i="2" s="1"/>
  <c r="AC12" i="2" a="1"/>
  <c r="AC12" i="2" s="1"/>
  <c r="C13" i="2" a="1"/>
  <c r="C13" i="2" s="1"/>
  <c r="D13" i="2" a="1"/>
  <c r="D13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N13" i="2" a="1"/>
  <c r="N13" i="2" s="1"/>
  <c r="O13" i="2" a="1"/>
  <c r="O13" i="2" s="1"/>
  <c r="P13" i="2" a="1"/>
  <c r="P13" i="2" s="1"/>
  <c r="Q13" i="2" a="1"/>
  <c r="Q13" i="2" s="1"/>
  <c r="R13" i="2" a="1"/>
  <c r="R13" i="2" s="1"/>
  <c r="S13" i="2" a="1"/>
  <c r="S13" i="2" s="1"/>
  <c r="T13" i="2" a="1"/>
  <c r="T13" i="2" s="1"/>
  <c r="U13" i="2" a="1"/>
  <c r="U13" i="2" s="1"/>
  <c r="V13" i="2" a="1"/>
  <c r="V13" i="2" s="1"/>
  <c r="W13" i="2" a="1"/>
  <c r="W13" i="2" s="1"/>
  <c r="X13" i="2" a="1"/>
  <c r="X13" i="2" s="1"/>
  <c r="Y13" i="2" a="1"/>
  <c r="Y13" i="2" s="1"/>
  <c r="Z13" i="2" a="1"/>
  <c r="Z13" i="2" s="1"/>
  <c r="AA13" i="2" a="1"/>
  <c r="AA13" i="2" s="1"/>
  <c r="AB13" i="2" a="1"/>
  <c r="AB13" i="2" s="1"/>
  <c r="AC13" i="2" a="1"/>
  <c r="AC13" i="2" s="1"/>
  <c r="C14" i="2" a="1"/>
  <c r="C14" i="2" s="1"/>
  <c r="D14" i="2" a="1"/>
  <c r="D14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O14" i="2" a="1"/>
  <c r="O14" i="2" s="1"/>
  <c r="P14" i="2" a="1"/>
  <c r="P14" i="2" s="1"/>
  <c r="Q14" i="2" a="1"/>
  <c r="Q14" i="2" s="1"/>
  <c r="R14" i="2" a="1"/>
  <c r="R14" i="2" s="1"/>
  <c r="S14" i="2" a="1"/>
  <c r="S14" i="2" s="1"/>
  <c r="T14" i="2" a="1"/>
  <c r="T14" i="2" s="1"/>
  <c r="U14" i="2" a="1"/>
  <c r="U14" i="2" s="1"/>
  <c r="V14" i="2" a="1"/>
  <c r="V14" i="2" s="1"/>
  <c r="W14" i="2" a="1"/>
  <c r="W14" i="2" s="1"/>
  <c r="X14" i="2" a="1"/>
  <c r="X14" i="2" s="1"/>
  <c r="Y14" i="2" a="1"/>
  <c r="Y14" i="2" s="1"/>
  <c r="Z14" i="2" a="1"/>
  <c r="Z14" i="2" s="1"/>
  <c r="AA14" i="2" a="1"/>
  <c r="AA14" i="2" s="1"/>
  <c r="AB14" i="2" a="1"/>
  <c r="AB14" i="2" s="1"/>
  <c r="AC14" i="2" a="1"/>
  <c r="AC14" i="2" s="1"/>
  <c r="C15" i="2" a="1"/>
  <c r="C15" i="2" s="1"/>
  <c r="D15" i="2" a="1"/>
  <c r="D15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 s="1"/>
  <c r="O15" i="2" a="1"/>
  <c r="O15" i="2" s="1"/>
  <c r="P15" i="2" a="1"/>
  <c r="P15" i="2" s="1"/>
  <c r="Q15" i="2" a="1"/>
  <c r="Q15" i="2" s="1"/>
  <c r="R15" i="2" a="1"/>
  <c r="R15" i="2" s="1"/>
  <c r="S15" i="2" a="1"/>
  <c r="S15" i="2" s="1"/>
  <c r="T15" i="2" a="1"/>
  <c r="T15" i="2" s="1"/>
  <c r="U15" i="2" a="1"/>
  <c r="U15" i="2" s="1"/>
  <c r="V15" i="2" a="1"/>
  <c r="V15" i="2" s="1"/>
  <c r="W15" i="2" a="1"/>
  <c r="W15" i="2" s="1"/>
  <c r="X15" i="2" a="1"/>
  <c r="X15" i="2" s="1"/>
  <c r="Y15" i="2" a="1"/>
  <c r="Y15" i="2" s="1"/>
  <c r="Z15" i="2" a="1"/>
  <c r="Z15" i="2" s="1"/>
  <c r="AA15" i="2" a="1"/>
  <c r="AA15" i="2" s="1"/>
  <c r="AB15" i="2" a="1"/>
  <c r="AB15" i="2" s="1"/>
  <c r="AC15" i="2" a="1"/>
  <c r="AC15" i="2" s="1"/>
  <c r="C17" i="2" a="1"/>
  <c r="C17" i="2" s="1"/>
  <c r="D17" i="2" a="1"/>
  <c r="D17" i="2" s="1"/>
  <c r="E17" i="2" a="1"/>
  <c r="E17" i="2" s="1"/>
  <c r="F17" i="2" a="1"/>
  <c r="F17" i="2" s="1"/>
  <c r="G17" i="2" a="1"/>
  <c r="G17" i="2" s="1"/>
  <c r="H17" i="2" a="1"/>
  <c r="H17" i="2" s="1"/>
  <c r="I17" i="2" a="1"/>
  <c r="I17" i="2" s="1"/>
  <c r="J17" i="2" a="1"/>
  <c r="J17" i="2" s="1"/>
  <c r="K17" i="2" a="1"/>
  <c r="K17" i="2" s="1"/>
  <c r="L17" i="2" a="1"/>
  <c r="L17" i="2" s="1"/>
  <c r="M17" i="2" a="1"/>
  <c r="M17" i="2" s="1"/>
  <c r="N17" i="2" a="1"/>
  <c r="N17" i="2" s="1"/>
  <c r="O17" i="2" a="1"/>
  <c r="O17" i="2" s="1"/>
  <c r="P17" i="2" a="1"/>
  <c r="P17" i="2" s="1"/>
  <c r="Q17" i="2" a="1"/>
  <c r="Q17" i="2" s="1"/>
  <c r="R17" i="2" a="1"/>
  <c r="R17" i="2" s="1"/>
  <c r="S17" i="2" a="1"/>
  <c r="S17" i="2" s="1"/>
  <c r="T17" i="2" a="1"/>
  <c r="T17" i="2" s="1"/>
  <c r="U17" i="2" a="1"/>
  <c r="U17" i="2" s="1"/>
  <c r="V17" i="2" a="1"/>
  <c r="V17" i="2" s="1"/>
  <c r="W17" i="2" a="1"/>
  <c r="W17" i="2" s="1"/>
  <c r="X17" i="2" a="1"/>
  <c r="X17" i="2" s="1"/>
  <c r="Y17" i="2" a="1"/>
  <c r="Y17" i="2" s="1"/>
  <c r="Z17" i="2" a="1"/>
  <c r="Z17" i="2" s="1"/>
  <c r="AA17" i="2" a="1"/>
  <c r="AA17" i="2" s="1"/>
  <c r="AB17" i="2" a="1"/>
  <c r="AB17" i="2" s="1"/>
  <c r="AC17" i="2" a="1"/>
  <c r="AC17" i="2" s="1"/>
  <c r="C18" i="2" a="1"/>
  <c r="C18" i="2" s="1"/>
  <c r="D18" i="2" a="1"/>
  <c r="D18" i="2" s="1"/>
  <c r="E18" i="2" a="1"/>
  <c r="E18" i="2" s="1"/>
  <c r="F18" i="2" a="1"/>
  <c r="F18" i="2" s="1"/>
  <c r="G18" i="2" a="1"/>
  <c r="G18" i="2" s="1"/>
  <c r="H18" i="2" a="1"/>
  <c r="H18" i="2" s="1"/>
  <c r="I18" i="2" a="1"/>
  <c r="I18" i="2" s="1"/>
  <c r="J18" i="2" a="1"/>
  <c r="J18" i="2" s="1"/>
  <c r="K18" i="2" a="1"/>
  <c r="K18" i="2" s="1"/>
  <c r="L18" i="2" a="1"/>
  <c r="L18" i="2" s="1"/>
  <c r="M18" i="2" a="1"/>
  <c r="M18" i="2" s="1"/>
  <c r="N18" i="2" a="1"/>
  <c r="N18" i="2" s="1"/>
  <c r="O18" i="2" a="1"/>
  <c r="O18" i="2" s="1"/>
  <c r="P18" i="2" a="1"/>
  <c r="P18" i="2" s="1"/>
  <c r="Q18" i="2" a="1"/>
  <c r="Q18" i="2" s="1"/>
  <c r="R18" i="2" a="1"/>
  <c r="R18" i="2" s="1"/>
  <c r="S18" i="2" a="1"/>
  <c r="S18" i="2" s="1"/>
  <c r="T18" i="2" a="1"/>
  <c r="T18" i="2" s="1"/>
  <c r="U18" i="2" a="1"/>
  <c r="U18" i="2" s="1"/>
  <c r="V18" i="2" a="1"/>
  <c r="V18" i="2" s="1"/>
  <c r="W18" i="2" a="1"/>
  <c r="W18" i="2" s="1"/>
  <c r="X18" i="2" a="1"/>
  <c r="X18" i="2" s="1"/>
  <c r="Y18" i="2" a="1"/>
  <c r="Y18" i="2" s="1"/>
  <c r="Z18" i="2" a="1"/>
  <c r="Z18" i="2" s="1"/>
  <c r="AA18" i="2" a="1"/>
  <c r="AA18" i="2" s="1"/>
  <c r="AB18" i="2" a="1"/>
  <c r="AB18" i="2" s="1"/>
  <c r="AC18" i="2" a="1"/>
  <c r="AC18" i="2" s="1"/>
  <c r="C20" i="2" a="1"/>
  <c r="C20" i="2" s="1"/>
  <c r="D20" i="2" a="1"/>
  <c r="D20" i="2" s="1"/>
  <c r="E20" i="2" a="1"/>
  <c r="E20" i="2" s="1"/>
  <c r="F20" i="2" a="1"/>
  <c r="F20" i="2" s="1"/>
  <c r="G20" i="2" a="1"/>
  <c r="G20" i="2" s="1"/>
  <c r="H20" i="2" a="1"/>
  <c r="H20" i="2" s="1"/>
  <c r="I20" i="2" a="1"/>
  <c r="I20" i="2" s="1"/>
  <c r="J20" i="2" a="1"/>
  <c r="J20" i="2" s="1"/>
  <c r="K20" i="2" a="1"/>
  <c r="K20" i="2" s="1"/>
  <c r="L20" i="2" a="1"/>
  <c r="L20" i="2" s="1"/>
  <c r="M20" i="2" a="1"/>
  <c r="M20" i="2" s="1"/>
  <c r="N20" i="2" a="1"/>
  <c r="N20" i="2" s="1"/>
  <c r="O20" i="2" a="1"/>
  <c r="O20" i="2" s="1"/>
  <c r="P20" i="2" a="1"/>
  <c r="P20" i="2" s="1"/>
  <c r="Q20" i="2" a="1"/>
  <c r="Q20" i="2" s="1"/>
  <c r="R20" i="2" a="1"/>
  <c r="R20" i="2" s="1"/>
  <c r="S20" i="2" a="1"/>
  <c r="S20" i="2" s="1"/>
  <c r="T20" i="2" a="1"/>
  <c r="T20" i="2" s="1"/>
  <c r="U20" i="2" a="1"/>
  <c r="U20" i="2" s="1"/>
  <c r="V20" i="2" a="1"/>
  <c r="V20" i="2" s="1"/>
  <c r="W20" i="2" a="1"/>
  <c r="W20" i="2" s="1"/>
  <c r="X20" i="2" a="1"/>
  <c r="X20" i="2" s="1"/>
  <c r="Y20" i="2" a="1"/>
  <c r="Y20" i="2" s="1"/>
  <c r="Z20" i="2" a="1"/>
  <c r="Z20" i="2" s="1"/>
  <c r="AA20" i="2" a="1"/>
  <c r="AA20" i="2" s="1"/>
  <c r="AB20" i="2" a="1"/>
  <c r="AB20" i="2" s="1"/>
  <c r="AC20" i="2" a="1"/>
  <c r="AC20" i="2" s="1"/>
  <c r="C21" i="2" a="1"/>
  <c r="C21" i="2" s="1"/>
  <c r="D21" i="2" a="1"/>
  <c r="D21" i="2" s="1"/>
  <c r="E21" i="2" a="1"/>
  <c r="E21" i="2" s="1"/>
  <c r="F21" i="2" a="1"/>
  <c r="F21" i="2" s="1"/>
  <c r="G21" i="2" a="1"/>
  <c r="G21" i="2" s="1"/>
  <c r="H21" i="2" a="1"/>
  <c r="H21" i="2" s="1"/>
  <c r="I21" i="2" a="1"/>
  <c r="I21" i="2" s="1"/>
  <c r="J21" i="2" a="1"/>
  <c r="J21" i="2" s="1"/>
  <c r="K21" i="2" a="1"/>
  <c r="K21" i="2" s="1"/>
  <c r="L21" i="2" a="1"/>
  <c r="L21" i="2" s="1"/>
  <c r="M21" i="2" a="1"/>
  <c r="M21" i="2" s="1"/>
  <c r="N21" i="2" a="1"/>
  <c r="N21" i="2" s="1"/>
  <c r="O21" i="2" a="1"/>
  <c r="O21" i="2" s="1"/>
  <c r="P21" i="2" a="1"/>
  <c r="P21" i="2" s="1"/>
  <c r="Q21" i="2" a="1"/>
  <c r="Q21" i="2" s="1"/>
  <c r="R21" i="2" a="1"/>
  <c r="R21" i="2" s="1"/>
  <c r="S21" i="2" a="1"/>
  <c r="S21" i="2" s="1"/>
  <c r="T21" i="2" a="1"/>
  <c r="T21" i="2" s="1"/>
  <c r="U21" i="2" a="1"/>
  <c r="U21" i="2" s="1"/>
  <c r="V21" i="2" a="1"/>
  <c r="V21" i="2" s="1"/>
  <c r="W21" i="2" a="1"/>
  <c r="W21" i="2" s="1"/>
  <c r="X21" i="2" a="1"/>
  <c r="X21" i="2" s="1"/>
  <c r="Y21" i="2" a="1"/>
  <c r="Y21" i="2" s="1"/>
  <c r="Z21" i="2" a="1"/>
  <c r="Z21" i="2" s="1"/>
  <c r="AA21" i="2" a="1"/>
  <c r="AA21" i="2" s="1"/>
  <c r="AB21" i="2" a="1"/>
  <c r="AB21" i="2" s="1"/>
  <c r="AC21" i="2" a="1"/>
  <c r="AC21" i="2" s="1"/>
  <c r="C22" i="2" a="1"/>
  <c r="C22" i="2" s="1"/>
  <c r="D22" i="2" a="1"/>
  <c r="D22" i="2" s="1"/>
  <c r="E22" i="2" a="1"/>
  <c r="E22" i="2" s="1"/>
  <c r="F22" i="2" a="1"/>
  <c r="F22" i="2" s="1"/>
  <c r="G22" i="2" a="1"/>
  <c r="G22" i="2" s="1"/>
  <c r="H22" i="2" a="1"/>
  <c r="H22" i="2" s="1"/>
  <c r="I22" i="2" a="1"/>
  <c r="I22" i="2" s="1"/>
  <c r="J22" i="2" a="1"/>
  <c r="J22" i="2" s="1"/>
  <c r="K22" i="2" a="1"/>
  <c r="K22" i="2" s="1"/>
  <c r="L22" i="2" a="1"/>
  <c r="L22" i="2" s="1"/>
  <c r="M22" i="2" a="1"/>
  <c r="M22" i="2" s="1"/>
  <c r="N22" i="2" a="1"/>
  <c r="N22" i="2" s="1"/>
  <c r="O22" i="2" a="1"/>
  <c r="O22" i="2" s="1"/>
  <c r="P22" i="2" a="1"/>
  <c r="P22" i="2" s="1"/>
  <c r="Q22" i="2" a="1"/>
  <c r="Q22" i="2" s="1"/>
  <c r="R22" i="2" a="1"/>
  <c r="R22" i="2" s="1"/>
  <c r="S22" i="2" a="1"/>
  <c r="S22" i="2" s="1"/>
  <c r="T22" i="2" a="1"/>
  <c r="T22" i="2" s="1"/>
  <c r="U22" i="2" a="1"/>
  <c r="U22" i="2" s="1"/>
  <c r="V22" i="2" a="1"/>
  <c r="V22" i="2" s="1"/>
  <c r="W22" i="2" a="1"/>
  <c r="W22" i="2" s="1"/>
  <c r="X22" i="2" a="1"/>
  <c r="X22" i="2" s="1"/>
  <c r="Y22" i="2" a="1"/>
  <c r="Y22" i="2" s="1"/>
  <c r="Z22" i="2" a="1"/>
  <c r="Z22" i="2" s="1"/>
  <c r="AA22" i="2" a="1"/>
  <c r="AA22" i="2" s="1"/>
  <c r="AB22" i="2" a="1"/>
  <c r="AB22" i="2" s="1"/>
  <c r="AC22" i="2" a="1"/>
  <c r="AC22" i="2" s="1"/>
  <c r="C23" i="2" a="1"/>
  <c r="C23" i="2" s="1"/>
  <c r="D23" i="2" a="1"/>
  <c r="D23" i="2" s="1"/>
  <c r="E23" i="2" a="1"/>
  <c r="E23" i="2" s="1"/>
  <c r="F23" i="2" a="1"/>
  <c r="F23" i="2" s="1"/>
  <c r="G23" i="2" a="1"/>
  <c r="G23" i="2" s="1"/>
  <c r="H23" i="2" a="1"/>
  <c r="H23" i="2" s="1"/>
  <c r="I23" i="2" a="1"/>
  <c r="I23" i="2" s="1"/>
  <c r="J23" i="2" a="1"/>
  <c r="J23" i="2" s="1"/>
  <c r="K23" i="2" a="1"/>
  <c r="K23" i="2" s="1"/>
  <c r="L23" i="2" a="1"/>
  <c r="L23" i="2" s="1"/>
  <c r="M23" i="2" a="1"/>
  <c r="M23" i="2" s="1"/>
  <c r="N23" i="2" a="1"/>
  <c r="N23" i="2" s="1"/>
  <c r="O23" i="2" a="1"/>
  <c r="O23" i="2" s="1"/>
  <c r="P23" i="2" a="1"/>
  <c r="P23" i="2" s="1"/>
  <c r="Q23" i="2" a="1"/>
  <c r="Q23" i="2" s="1"/>
  <c r="R23" i="2" a="1"/>
  <c r="R23" i="2" s="1"/>
  <c r="S23" i="2" a="1"/>
  <c r="S23" i="2" s="1"/>
  <c r="T23" i="2" a="1"/>
  <c r="T23" i="2" s="1"/>
  <c r="U23" i="2" a="1"/>
  <c r="U23" i="2" s="1"/>
  <c r="V23" i="2" a="1"/>
  <c r="V23" i="2" s="1"/>
  <c r="W23" i="2" a="1"/>
  <c r="W23" i="2" s="1"/>
  <c r="X23" i="2" a="1"/>
  <c r="X23" i="2" s="1"/>
  <c r="Y23" i="2" a="1"/>
  <c r="Y23" i="2" s="1"/>
  <c r="Z23" i="2" a="1"/>
  <c r="Z23" i="2" s="1"/>
  <c r="AA23" i="2" a="1"/>
  <c r="AA23" i="2" s="1"/>
  <c r="AB23" i="2" a="1"/>
  <c r="AB23" i="2" s="1"/>
  <c r="AC23" i="2" a="1"/>
  <c r="AC23" i="2" s="1"/>
  <c r="C24" i="2" a="1"/>
  <c r="C24" i="2" s="1"/>
  <c r="D24" i="2" a="1"/>
  <c r="D24" i="2" s="1"/>
  <c r="E24" i="2" a="1"/>
  <c r="E24" i="2" s="1"/>
  <c r="F24" i="2" a="1"/>
  <c r="F24" i="2" s="1"/>
  <c r="G24" i="2" a="1"/>
  <c r="G24" i="2" s="1"/>
  <c r="H24" i="2" a="1"/>
  <c r="H24" i="2" s="1"/>
  <c r="I24" i="2" a="1"/>
  <c r="I24" i="2" s="1"/>
  <c r="J24" i="2" a="1"/>
  <c r="J24" i="2" s="1"/>
  <c r="K24" i="2" a="1"/>
  <c r="K24" i="2" s="1"/>
  <c r="L24" i="2" a="1"/>
  <c r="L24" i="2" s="1"/>
  <c r="M24" i="2" a="1"/>
  <c r="M24" i="2" s="1"/>
  <c r="N24" i="2" a="1"/>
  <c r="N24" i="2" s="1"/>
  <c r="O24" i="2" a="1"/>
  <c r="O24" i="2" s="1"/>
  <c r="P24" i="2" a="1"/>
  <c r="P24" i="2" s="1"/>
  <c r="Q24" i="2" a="1"/>
  <c r="Q24" i="2" s="1"/>
  <c r="R24" i="2" a="1"/>
  <c r="R24" i="2" s="1"/>
  <c r="S24" i="2" a="1"/>
  <c r="S24" i="2" s="1"/>
  <c r="T24" i="2" a="1"/>
  <c r="T24" i="2" s="1"/>
  <c r="U24" i="2" a="1"/>
  <c r="U24" i="2" s="1"/>
  <c r="V24" i="2" a="1"/>
  <c r="V24" i="2" s="1"/>
  <c r="W24" i="2" a="1"/>
  <c r="W24" i="2" s="1"/>
  <c r="X24" i="2" a="1"/>
  <c r="X24" i="2" s="1"/>
  <c r="Y24" i="2" a="1"/>
  <c r="Y24" i="2" s="1"/>
  <c r="Z24" i="2" a="1"/>
  <c r="Z24" i="2" s="1"/>
  <c r="AA24" i="2" a="1"/>
  <c r="AA24" i="2" s="1"/>
  <c r="AB24" i="2" a="1"/>
  <c r="AB24" i="2" s="1"/>
  <c r="AC24" i="2" a="1"/>
  <c r="AC24" i="2" s="1"/>
  <c r="C26" i="2" a="1"/>
  <c r="C26" i="2" s="1"/>
  <c r="D26" i="2" a="1"/>
  <c r="D26" i="2" s="1"/>
  <c r="E26" i="2" a="1"/>
  <c r="E26" i="2" s="1"/>
  <c r="F26" i="2" a="1"/>
  <c r="F26" i="2" s="1"/>
  <c r="G26" i="2" a="1"/>
  <c r="G26" i="2" s="1"/>
  <c r="H26" i="2" a="1"/>
  <c r="H26" i="2" s="1"/>
  <c r="I26" i="2" a="1"/>
  <c r="I26" i="2" s="1"/>
  <c r="J26" i="2" a="1"/>
  <c r="J26" i="2" s="1"/>
  <c r="K26" i="2" a="1"/>
  <c r="K26" i="2" s="1"/>
  <c r="L26" i="2" a="1"/>
  <c r="L26" i="2" s="1"/>
  <c r="M26" i="2" a="1"/>
  <c r="M26" i="2" s="1"/>
  <c r="N26" i="2" a="1"/>
  <c r="N26" i="2" s="1"/>
  <c r="O26" i="2" a="1"/>
  <c r="O26" i="2" s="1"/>
  <c r="P26" i="2" a="1"/>
  <c r="P26" i="2" s="1"/>
  <c r="Q26" i="2" a="1"/>
  <c r="Q26" i="2" s="1"/>
  <c r="R26" i="2" a="1"/>
  <c r="R26" i="2" s="1"/>
  <c r="S26" i="2" a="1"/>
  <c r="S26" i="2" s="1"/>
  <c r="T26" i="2" a="1"/>
  <c r="T26" i="2" s="1"/>
  <c r="U26" i="2" a="1"/>
  <c r="U26" i="2" s="1"/>
  <c r="V26" i="2" a="1"/>
  <c r="V26" i="2" s="1"/>
  <c r="W26" i="2" a="1"/>
  <c r="W26" i="2" s="1"/>
  <c r="X26" i="2" a="1"/>
  <c r="X26" i="2" s="1"/>
  <c r="Y26" i="2" a="1"/>
  <c r="Y26" i="2" s="1"/>
  <c r="Z26" i="2" a="1"/>
  <c r="Z26" i="2" s="1"/>
  <c r="AA26" i="2" a="1"/>
  <c r="AA26" i="2" s="1"/>
  <c r="AB26" i="2" a="1"/>
  <c r="AB26" i="2" s="1"/>
  <c r="AC26" i="2" a="1"/>
  <c r="AC26" i="2" s="1"/>
  <c r="C27" i="2" a="1"/>
  <c r="C27" i="2" s="1"/>
  <c r="D27" i="2" a="1"/>
  <c r="D27" i="2" s="1"/>
  <c r="E27" i="2" a="1"/>
  <c r="E27" i="2" s="1"/>
  <c r="F27" i="2" a="1"/>
  <c r="F27" i="2" s="1"/>
  <c r="G27" i="2" a="1"/>
  <c r="G27" i="2" s="1"/>
  <c r="H27" i="2" a="1"/>
  <c r="H27" i="2" s="1"/>
  <c r="I27" i="2" a="1"/>
  <c r="I27" i="2" s="1"/>
  <c r="J27" i="2" a="1"/>
  <c r="J27" i="2" s="1"/>
  <c r="K27" i="2" a="1"/>
  <c r="K27" i="2" s="1"/>
  <c r="L27" i="2" a="1"/>
  <c r="L27" i="2" s="1"/>
  <c r="M27" i="2" a="1"/>
  <c r="M27" i="2" s="1"/>
  <c r="N27" i="2" a="1"/>
  <c r="N27" i="2" s="1"/>
  <c r="O27" i="2" a="1"/>
  <c r="O27" i="2" s="1"/>
  <c r="P27" i="2" a="1"/>
  <c r="P27" i="2" s="1"/>
  <c r="Q27" i="2" a="1"/>
  <c r="Q27" i="2" s="1"/>
  <c r="R27" i="2" a="1"/>
  <c r="R27" i="2" s="1"/>
  <c r="S27" i="2" a="1"/>
  <c r="S27" i="2" s="1"/>
  <c r="T27" i="2" a="1"/>
  <c r="T27" i="2" s="1"/>
  <c r="U27" i="2" a="1"/>
  <c r="U27" i="2" s="1"/>
  <c r="V27" i="2" a="1"/>
  <c r="V27" i="2" s="1"/>
  <c r="W27" i="2" a="1"/>
  <c r="W27" i="2" s="1"/>
  <c r="X27" i="2" a="1"/>
  <c r="X27" i="2" s="1"/>
  <c r="Y27" i="2" a="1"/>
  <c r="Y27" i="2" s="1"/>
  <c r="Z27" i="2" a="1"/>
  <c r="Z27" i="2" s="1"/>
  <c r="AA27" i="2" a="1"/>
  <c r="AA27" i="2" s="1"/>
  <c r="AB27" i="2" a="1"/>
  <c r="AB27" i="2" s="1"/>
  <c r="AC27" i="2" a="1"/>
  <c r="AC27" i="2" s="1"/>
  <c r="C28" i="2" a="1"/>
  <c r="C28" i="2" s="1"/>
  <c r="D28" i="2" a="1"/>
  <c r="D28" i="2" s="1"/>
  <c r="E28" i="2" a="1"/>
  <c r="E28" i="2" s="1"/>
  <c r="F28" i="2" a="1"/>
  <c r="F28" i="2" s="1"/>
  <c r="G28" i="2" a="1"/>
  <c r="G28" i="2" s="1"/>
  <c r="H28" i="2" a="1"/>
  <c r="H28" i="2" s="1"/>
  <c r="I28" i="2" a="1"/>
  <c r="I28" i="2" s="1"/>
  <c r="J28" i="2" a="1"/>
  <c r="J28" i="2" s="1"/>
  <c r="K28" i="2" a="1"/>
  <c r="K28" i="2" s="1"/>
  <c r="L28" i="2" a="1"/>
  <c r="L28" i="2" s="1"/>
  <c r="M28" i="2" a="1"/>
  <c r="M28" i="2" s="1"/>
  <c r="N28" i="2" a="1"/>
  <c r="N28" i="2" s="1"/>
  <c r="O28" i="2" a="1"/>
  <c r="O28" i="2" s="1"/>
  <c r="P28" i="2" a="1"/>
  <c r="P28" i="2" s="1"/>
  <c r="Q28" i="2" a="1"/>
  <c r="Q28" i="2" s="1"/>
  <c r="R28" i="2" a="1"/>
  <c r="R28" i="2" s="1"/>
  <c r="S28" i="2" a="1"/>
  <c r="S28" i="2" s="1"/>
  <c r="T28" i="2" a="1"/>
  <c r="T28" i="2" s="1"/>
  <c r="U28" i="2" a="1"/>
  <c r="U28" i="2" s="1"/>
  <c r="V28" i="2" a="1"/>
  <c r="V28" i="2" s="1"/>
  <c r="W28" i="2" a="1"/>
  <c r="W28" i="2" s="1"/>
  <c r="X28" i="2" a="1"/>
  <c r="X28" i="2" s="1"/>
  <c r="Y28" i="2" a="1"/>
  <c r="Y28" i="2" s="1"/>
  <c r="Z28" i="2" a="1"/>
  <c r="Z28" i="2" s="1"/>
  <c r="AA28" i="2" a="1"/>
  <c r="AA28" i="2" s="1"/>
  <c r="AB28" i="2" a="1"/>
  <c r="AB28" i="2" s="1"/>
  <c r="AC28" i="2" a="1"/>
  <c r="AC28" i="2" s="1"/>
  <c r="C29" i="2" a="1"/>
  <c r="C29" i="2" s="1"/>
  <c r="D29" i="2" a="1"/>
  <c r="D29" i="2" s="1"/>
  <c r="E29" i="2" a="1"/>
  <c r="E29" i="2" s="1"/>
  <c r="F29" i="2" a="1"/>
  <c r="F29" i="2" s="1"/>
  <c r="G29" i="2" a="1"/>
  <c r="G29" i="2" s="1"/>
  <c r="H29" i="2" a="1"/>
  <c r="H29" i="2" s="1"/>
  <c r="I29" i="2" a="1"/>
  <c r="I29" i="2" s="1"/>
  <c r="J29" i="2" a="1"/>
  <c r="J29" i="2" s="1"/>
  <c r="K29" i="2" a="1"/>
  <c r="K29" i="2" s="1"/>
  <c r="L29" i="2" a="1"/>
  <c r="L29" i="2" s="1"/>
  <c r="M29" i="2" a="1"/>
  <c r="M29" i="2" s="1"/>
  <c r="N29" i="2" a="1"/>
  <c r="N29" i="2" s="1"/>
  <c r="O29" i="2" a="1"/>
  <c r="O29" i="2" s="1"/>
  <c r="P29" i="2" a="1"/>
  <c r="P29" i="2" s="1"/>
  <c r="Q29" i="2" a="1"/>
  <c r="Q29" i="2" s="1"/>
  <c r="R29" i="2" a="1"/>
  <c r="R29" i="2" s="1"/>
  <c r="S29" i="2" a="1"/>
  <c r="S29" i="2" s="1"/>
  <c r="T29" i="2" a="1"/>
  <c r="T29" i="2" s="1"/>
  <c r="U29" i="2" a="1"/>
  <c r="U29" i="2" s="1"/>
  <c r="V29" i="2" a="1"/>
  <c r="V29" i="2" s="1"/>
  <c r="W29" i="2" a="1"/>
  <c r="W29" i="2" s="1"/>
  <c r="X29" i="2" a="1"/>
  <c r="X29" i="2" s="1"/>
  <c r="Y29" i="2" a="1"/>
  <c r="Y29" i="2" s="1"/>
  <c r="Z29" i="2" a="1"/>
  <c r="Z29" i="2" s="1"/>
  <c r="AA29" i="2" a="1"/>
  <c r="AA29" i="2" s="1"/>
  <c r="AB29" i="2" a="1"/>
  <c r="AB29" i="2" s="1"/>
  <c r="AC29" i="2" a="1"/>
  <c r="AC29" i="2" s="1"/>
  <c r="C33" i="2" a="1"/>
  <c r="C33" i="2" s="1"/>
  <c r="D33" i="2" a="1"/>
  <c r="D33" i="2" s="1"/>
  <c r="E33" i="2" a="1"/>
  <c r="E33" i="2" s="1"/>
  <c r="F33" i="2" a="1"/>
  <c r="F33" i="2" s="1"/>
  <c r="G33" i="2" a="1"/>
  <c r="G33" i="2" s="1"/>
  <c r="H33" i="2" a="1"/>
  <c r="H33" i="2" s="1"/>
  <c r="I33" i="2" a="1"/>
  <c r="I33" i="2" s="1"/>
  <c r="J33" i="2" a="1"/>
  <c r="J33" i="2" s="1"/>
  <c r="K33" i="2" a="1"/>
  <c r="K33" i="2" s="1"/>
  <c r="L33" i="2" a="1"/>
  <c r="L33" i="2" s="1"/>
  <c r="M33" i="2" a="1"/>
  <c r="M33" i="2" s="1"/>
  <c r="N33" i="2" a="1"/>
  <c r="N33" i="2" s="1"/>
  <c r="O33" i="2" a="1"/>
  <c r="O33" i="2" s="1"/>
  <c r="P33" i="2" a="1"/>
  <c r="P33" i="2" s="1"/>
  <c r="Q33" i="2" a="1"/>
  <c r="Q33" i="2" s="1"/>
  <c r="R33" i="2" a="1"/>
  <c r="R33" i="2" s="1"/>
  <c r="S33" i="2" a="1"/>
  <c r="S33" i="2" s="1"/>
  <c r="T33" i="2" a="1"/>
  <c r="T33" i="2" s="1"/>
  <c r="U33" i="2" a="1"/>
  <c r="U33" i="2" s="1"/>
  <c r="V33" i="2" a="1"/>
  <c r="V33" i="2" s="1"/>
  <c r="W33" i="2" a="1"/>
  <c r="W33" i="2" s="1"/>
  <c r="X33" i="2" a="1"/>
  <c r="X33" i="2" s="1"/>
  <c r="Y33" i="2" a="1"/>
  <c r="Y33" i="2" s="1"/>
  <c r="Z33" i="2" a="1"/>
  <c r="Z33" i="2" s="1"/>
  <c r="AA33" i="2" a="1"/>
  <c r="AA33" i="2" s="1"/>
  <c r="AB33" i="2" a="1"/>
  <c r="AB33" i="2" s="1"/>
  <c r="AC33" i="2" a="1"/>
  <c r="AC33" i="2" s="1"/>
  <c r="C34" i="2" a="1"/>
  <c r="C34" i="2" s="1"/>
  <c r="D34" i="2" a="1"/>
  <c r="D34" i="2" s="1"/>
  <c r="E34" i="2" a="1"/>
  <c r="E34" i="2" s="1"/>
  <c r="F34" i="2" a="1"/>
  <c r="F34" i="2" s="1"/>
  <c r="G34" i="2" a="1"/>
  <c r="G34" i="2" s="1"/>
  <c r="H34" i="2" a="1"/>
  <c r="H34" i="2" s="1"/>
  <c r="I34" i="2" a="1"/>
  <c r="I34" i="2" s="1"/>
  <c r="J34" i="2" a="1"/>
  <c r="J34" i="2" s="1"/>
  <c r="K34" i="2" a="1"/>
  <c r="K34" i="2" s="1"/>
  <c r="L34" i="2" a="1"/>
  <c r="L34" i="2" s="1"/>
  <c r="M34" i="2" a="1"/>
  <c r="M34" i="2" s="1"/>
  <c r="N34" i="2" a="1"/>
  <c r="N34" i="2" s="1"/>
  <c r="O34" i="2" a="1"/>
  <c r="O34" i="2" s="1"/>
  <c r="P34" i="2" a="1"/>
  <c r="P34" i="2" s="1"/>
  <c r="Q34" i="2" a="1"/>
  <c r="Q34" i="2" s="1"/>
  <c r="R34" i="2" a="1"/>
  <c r="R34" i="2" s="1"/>
  <c r="S34" i="2" a="1"/>
  <c r="S34" i="2" s="1"/>
  <c r="T34" i="2" a="1"/>
  <c r="T34" i="2" s="1"/>
  <c r="U34" i="2" a="1"/>
  <c r="U34" i="2" s="1"/>
  <c r="V34" i="2" a="1"/>
  <c r="V34" i="2" s="1"/>
  <c r="W34" i="2" a="1"/>
  <c r="W34" i="2" s="1"/>
  <c r="X34" i="2" a="1"/>
  <c r="X34" i="2" s="1"/>
  <c r="Y34" i="2" a="1"/>
  <c r="Y34" i="2" s="1"/>
  <c r="Z34" i="2" a="1"/>
  <c r="Z34" i="2" s="1"/>
  <c r="AA34" i="2" a="1"/>
  <c r="AA34" i="2" s="1"/>
  <c r="AB34" i="2" a="1"/>
  <c r="AB34" i="2" s="1"/>
  <c r="AC34" i="2" a="1"/>
  <c r="AC34" i="2" s="1"/>
  <c r="C35" i="2" a="1"/>
  <c r="C35" i="2" s="1"/>
  <c r="D35" i="2" a="1"/>
  <c r="D35" i="2" s="1"/>
  <c r="E35" i="2" a="1"/>
  <c r="E35" i="2" s="1"/>
  <c r="F35" i="2" a="1"/>
  <c r="F35" i="2" s="1"/>
  <c r="G35" i="2" a="1"/>
  <c r="G35" i="2" s="1"/>
  <c r="H35" i="2" a="1"/>
  <c r="H35" i="2" s="1"/>
  <c r="I35" i="2" a="1"/>
  <c r="I35" i="2" s="1"/>
  <c r="J35" i="2" a="1"/>
  <c r="J35" i="2" s="1"/>
  <c r="K35" i="2" a="1"/>
  <c r="K35" i="2" s="1"/>
  <c r="L35" i="2" a="1"/>
  <c r="L35" i="2" s="1"/>
  <c r="M35" i="2" a="1"/>
  <c r="M35" i="2" s="1"/>
  <c r="N35" i="2" a="1"/>
  <c r="N35" i="2" s="1"/>
  <c r="O35" i="2" a="1"/>
  <c r="O35" i="2" s="1"/>
  <c r="P35" i="2" a="1"/>
  <c r="P35" i="2" s="1"/>
  <c r="Q35" i="2" a="1"/>
  <c r="Q35" i="2" s="1"/>
  <c r="R35" i="2" a="1"/>
  <c r="R35" i="2" s="1"/>
  <c r="S35" i="2" a="1"/>
  <c r="S35" i="2" s="1"/>
  <c r="T35" i="2" a="1"/>
  <c r="T35" i="2" s="1"/>
  <c r="U35" i="2" a="1"/>
  <c r="U35" i="2" s="1"/>
  <c r="V35" i="2" a="1"/>
  <c r="V35" i="2" s="1"/>
  <c r="W35" i="2" a="1"/>
  <c r="W35" i="2" s="1"/>
  <c r="X35" i="2" a="1"/>
  <c r="X35" i="2" s="1"/>
  <c r="Y35" i="2" a="1"/>
  <c r="Y35" i="2" s="1"/>
  <c r="Z35" i="2" a="1"/>
  <c r="Z35" i="2" s="1"/>
  <c r="AA35" i="2" a="1"/>
  <c r="AA35" i="2" s="1"/>
  <c r="AB35" i="2" a="1"/>
  <c r="AB35" i="2" s="1"/>
  <c r="I73" i="3" s="1"/>
  <c r="M73" i="3" s="1"/>
  <c r="AC35" i="2" a="1"/>
  <c r="AC35" i="2" s="1"/>
  <c r="C36" i="2" a="1"/>
  <c r="C36" i="2" s="1"/>
  <c r="D36" i="2" a="1"/>
  <c r="D36" i="2" s="1"/>
  <c r="E36" i="2" a="1"/>
  <c r="E36" i="2" s="1"/>
  <c r="F36" i="2" a="1"/>
  <c r="F36" i="2" s="1"/>
  <c r="G36" i="2" a="1"/>
  <c r="G36" i="2" s="1"/>
  <c r="H36" i="2" a="1"/>
  <c r="H36" i="2" s="1"/>
  <c r="I36" i="2" a="1"/>
  <c r="I36" i="2" s="1"/>
  <c r="J36" i="2" a="1"/>
  <c r="J36" i="2" s="1"/>
  <c r="K36" i="2" a="1"/>
  <c r="K36" i="2" s="1"/>
  <c r="L36" i="2" a="1"/>
  <c r="L36" i="2" s="1"/>
  <c r="M36" i="2" a="1"/>
  <c r="M36" i="2" s="1"/>
  <c r="N36" i="2" a="1"/>
  <c r="N36" i="2" s="1"/>
  <c r="O36" i="2" a="1"/>
  <c r="O36" i="2" s="1"/>
  <c r="P36" i="2" a="1"/>
  <c r="P36" i="2" s="1"/>
  <c r="Q36" i="2" a="1"/>
  <c r="Q36" i="2" s="1"/>
  <c r="R36" i="2" a="1"/>
  <c r="R36" i="2" s="1"/>
  <c r="S36" i="2" a="1"/>
  <c r="S36" i="2" s="1"/>
  <c r="T36" i="2" a="1"/>
  <c r="T36" i="2" s="1"/>
  <c r="U36" i="2" a="1"/>
  <c r="U36" i="2" s="1"/>
  <c r="V36" i="2" a="1"/>
  <c r="V36" i="2" s="1"/>
  <c r="W36" i="2" a="1"/>
  <c r="W36" i="2" s="1"/>
  <c r="X36" i="2" a="1"/>
  <c r="X36" i="2" s="1"/>
  <c r="Y36" i="2" a="1"/>
  <c r="Y36" i="2" s="1"/>
  <c r="Z36" i="2" a="1"/>
  <c r="Z36" i="2" s="1"/>
  <c r="AA36" i="2" a="1"/>
  <c r="AA36" i="2" s="1"/>
  <c r="AB36" i="2" a="1"/>
  <c r="AB36" i="2" s="1"/>
  <c r="AC36" i="2" a="1"/>
  <c r="AC36" i="2" s="1"/>
  <c r="C37" i="2" a="1"/>
  <c r="C37" i="2" s="1"/>
  <c r="D37" i="2" a="1"/>
  <c r="D37" i="2" s="1"/>
  <c r="E37" i="2" a="1"/>
  <c r="E37" i="2" s="1"/>
  <c r="F37" i="2" a="1"/>
  <c r="F37" i="2" s="1"/>
  <c r="G37" i="2" a="1"/>
  <c r="G37" i="2" s="1"/>
  <c r="H37" i="2" a="1"/>
  <c r="H37" i="2" s="1"/>
  <c r="I37" i="2" a="1"/>
  <c r="I37" i="2" s="1"/>
  <c r="J37" i="2" a="1"/>
  <c r="J37" i="2" s="1"/>
  <c r="K37" i="2" a="1"/>
  <c r="K37" i="2" s="1"/>
  <c r="L37" i="2" a="1"/>
  <c r="L37" i="2" s="1"/>
  <c r="M37" i="2" a="1"/>
  <c r="M37" i="2" s="1"/>
  <c r="N37" i="2" a="1"/>
  <c r="N37" i="2" s="1"/>
  <c r="O37" i="2" a="1"/>
  <c r="O37" i="2" s="1"/>
  <c r="P37" i="2" a="1"/>
  <c r="P37" i="2" s="1"/>
  <c r="Q37" i="2" a="1"/>
  <c r="Q37" i="2" s="1"/>
  <c r="R37" i="2" a="1"/>
  <c r="R37" i="2" s="1"/>
  <c r="S37" i="2" a="1"/>
  <c r="S37" i="2" s="1"/>
  <c r="T37" i="2" a="1"/>
  <c r="T37" i="2" s="1"/>
  <c r="U37" i="2" a="1"/>
  <c r="U37" i="2" s="1"/>
  <c r="V37" i="2" a="1"/>
  <c r="V37" i="2" s="1"/>
  <c r="W37" i="2" a="1"/>
  <c r="W37" i="2" s="1"/>
  <c r="X37" i="2" a="1"/>
  <c r="X37" i="2" s="1"/>
  <c r="Y37" i="2" a="1"/>
  <c r="Y37" i="2" s="1"/>
  <c r="Z37" i="2" a="1"/>
  <c r="Z37" i="2" s="1"/>
  <c r="AA37" i="2" a="1"/>
  <c r="AA37" i="2" s="1"/>
  <c r="AB37" i="2" a="1"/>
  <c r="AB37" i="2" s="1"/>
  <c r="AC37" i="2" a="1"/>
  <c r="AC37" i="2" s="1"/>
  <c r="C38" i="2" a="1"/>
  <c r="C38" i="2" s="1"/>
  <c r="D38" i="2" a="1"/>
  <c r="D38" i="2" s="1"/>
  <c r="E38" i="2" a="1"/>
  <c r="E38" i="2" s="1"/>
  <c r="F38" i="2" a="1"/>
  <c r="F38" i="2" s="1"/>
  <c r="G38" i="2" a="1"/>
  <c r="G38" i="2" s="1"/>
  <c r="H38" i="2" a="1"/>
  <c r="H38" i="2" s="1"/>
  <c r="I38" i="2" a="1"/>
  <c r="I38" i="2" s="1"/>
  <c r="J38" i="2" a="1"/>
  <c r="J38" i="2" s="1"/>
  <c r="K38" i="2" a="1"/>
  <c r="K38" i="2" s="1"/>
  <c r="L38" i="2" a="1"/>
  <c r="L38" i="2" s="1"/>
  <c r="M38" i="2" a="1"/>
  <c r="M38" i="2" s="1"/>
  <c r="N38" i="2" a="1"/>
  <c r="N38" i="2" s="1"/>
  <c r="O38" i="2" a="1"/>
  <c r="O38" i="2" s="1"/>
  <c r="P38" i="2" a="1"/>
  <c r="P38" i="2" s="1"/>
  <c r="Q38" i="2" a="1"/>
  <c r="Q38" i="2" s="1"/>
  <c r="R38" i="2" a="1"/>
  <c r="R38" i="2" s="1"/>
  <c r="S38" i="2" a="1"/>
  <c r="S38" i="2" s="1"/>
  <c r="T38" i="2" a="1"/>
  <c r="T38" i="2" s="1"/>
  <c r="U38" i="2" a="1"/>
  <c r="U38" i="2" s="1"/>
  <c r="V38" i="2" a="1"/>
  <c r="V38" i="2" s="1"/>
  <c r="W38" i="2" a="1"/>
  <c r="W38" i="2" s="1"/>
  <c r="X38" i="2" a="1"/>
  <c r="X38" i="2" s="1"/>
  <c r="Y38" i="2" a="1"/>
  <c r="Y38" i="2" s="1"/>
  <c r="Z38" i="2" a="1"/>
  <c r="Z38" i="2" s="1"/>
  <c r="AA38" i="2" a="1"/>
  <c r="AA38" i="2" s="1"/>
  <c r="AB38" i="2" a="1"/>
  <c r="AB38" i="2" s="1"/>
  <c r="AC38" i="2" a="1"/>
  <c r="AC38" i="2" s="1"/>
  <c r="C39" i="2" a="1"/>
  <c r="C39" i="2" s="1"/>
  <c r="D39" i="2" a="1"/>
  <c r="D39" i="2" s="1"/>
  <c r="E39" i="2" a="1"/>
  <c r="E39" i="2" s="1"/>
  <c r="F39" i="2" a="1"/>
  <c r="F39" i="2" s="1"/>
  <c r="G39" i="2" a="1"/>
  <c r="G39" i="2" s="1"/>
  <c r="H39" i="2" a="1"/>
  <c r="H39" i="2" s="1"/>
  <c r="I39" i="2" a="1"/>
  <c r="I39" i="2" s="1"/>
  <c r="J39" i="2" a="1"/>
  <c r="J39" i="2" s="1"/>
  <c r="K39" i="2" a="1"/>
  <c r="K39" i="2" s="1"/>
  <c r="L39" i="2" a="1"/>
  <c r="L39" i="2" s="1"/>
  <c r="M39" i="2" a="1"/>
  <c r="M39" i="2" s="1"/>
  <c r="N39" i="2" a="1"/>
  <c r="N39" i="2" s="1"/>
  <c r="O39" i="2" a="1"/>
  <c r="O39" i="2" s="1"/>
  <c r="P39" i="2" a="1"/>
  <c r="P39" i="2" s="1"/>
  <c r="Q39" i="2" a="1"/>
  <c r="Q39" i="2" s="1"/>
  <c r="R39" i="2" a="1"/>
  <c r="R39" i="2" s="1"/>
  <c r="S39" i="2" a="1"/>
  <c r="S39" i="2" s="1"/>
  <c r="T39" i="2" a="1"/>
  <c r="T39" i="2" s="1"/>
  <c r="U39" i="2" a="1"/>
  <c r="U39" i="2" s="1"/>
  <c r="V39" i="2" a="1"/>
  <c r="V39" i="2" s="1"/>
  <c r="W39" i="2" a="1"/>
  <c r="W39" i="2" s="1"/>
  <c r="X39" i="2" a="1"/>
  <c r="X39" i="2" s="1"/>
  <c r="Y39" i="2" a="1"/>
  <c r="Y39" i="2" s="1"/>
  <c r="Z39" i="2" a="1"/>
  <c r="Z39" i="2" s="1"/>
  <c r="AA39" i="2" a="1"/>
  <c r="AA39" i="2" s="1"/>
  <c r="AB39" i="2" a="1"/>
  <c r="AB39" i="2" s="1"/>
  <c r="AC39" i="2" a="1"/>
  <c r="AC39" i="2" s="1"/>
  <c r="C40" i="2" a="1"/>
  <c r="C40" i="2" s="1"/>
  <c r="D40" i="2" a="1"/>
  <c r="D40" i="2" s="1"/>
  <c r="E40" i="2" a="1"/>
  <c r="E40" i="2" s="1"/>
  <c r="F40" i="2" a="1"/>
  <c r="F40" i="2" s="1"/>
  <c r="G40" i="2" a="1"/>
  <c r="G40" i="2" s="1"/>
  <c r="H40" i="2" a="1"/>
  <c r="H40" i="2" s="1"/>
  <c r="I40" i="2" a="1"/>
  <c r="I40" i="2" s="1"/>
  <c r="J40" i="2" a="1"/>
  <c r="J40" i="2" s="1"/>
  <c r="K40" i="2" a="1"/>
  <c r="K40" i="2" s="1"/>
  <c r="L40" i="2" a="1"/>
  <c r="L40" i="2" s="1"/>
  <c r="M40" i="2" a="1"/>
  <c r="M40" i="2" s="1"/>
  <c r="N40" i="2" a="1"/>
  <c r="N40" i="2" s="1"/>
  <c r="O40" i="2" a="1"/>
  <c r="O40" i="2" s="1"/>
  <c r="P40" i="2" a="1"/>
  <c r="P40" i="2" s="1"/>
  <c r="Q40" i="2" a="1"/>
  <c r="Q40" i="2" s="1"/>
  <c r="R40" i="2" a="1"/>
  <c r="R40" i="2" s="1"/>
  <c r="S40" i="2" a="1"/>
  <c r="S40" i="2" s="1"/>
  <c r="T40" i="2" a="1"/>
  <c r="T40" i="2" s="1"/>
  <c r="U40" i="2" a="1"/>
  <c r="U40" i="2" s="1"/>
  <c r="V40" i="2" a="1"/>
  <c r="V40" i="2" s="1"/>
  <c r="W40" i="2" a="1"/>
  <c r="W40" i="2" s="1"/>
  <c r="X40" i="2" a="1"/>
  <c r="X40" i="2" s="1"/>
  <c r="Y40" i="2" a="1"/>
  <c r="Y40" i="2" s="1"/>
  <c r="Z40" i="2" a="1"/>
  <c r="Z40" i="2" s="1"/>
  <c r="AA40" i="2" a="1"/>
  <c r="AA40" i="2" s="1"/>
  <c r="AB40" i="2" a="1"/>
  <c r="AB40" i="2" s="1"/>
  <c r="AC40" i="2" a="1"/>
  <c r="AC40" i="2" s="1"/>
  <c r="C42" i="2" a="1"/>
  <c r="C42" i="2" s="1"/>
  <c r="D42" i="2" a="1"/>
  <c r="D42" i="2" s="1"/>
  <c r="E42" i="2" a="1"/>
  <c r="E42" i="2" s="1"/>
  <c r="F42" i="2" a="1"/>
  <c r="F42" i="2" s="1"/>
  <c r="G42" i="2" a="1"/>
  <c r="G42" i="2" s="1"/>
  <c r="H42" i="2" a="1"/>
  <c r="H42" i="2" s="1"/>
  <c r="I42" i="2" a="1"/>
  <c r="I42" i="2" s="1"/>
  <c r="J42" i="2" a="1"/>
  <c r="J42" i="2" s="1"/>
  <c r="K42" i="2" a="1"/>
  <c r="K42" i="2" s="1"/>
  <c r="L42" i="2" a="1"/>
  <c r="L42" i="2" s="1"/>
  <c r="M42" i="2" a="1"/>
  <c r="M42" i="2" s="1"/>
  <c r="N42" i="2" a="1"/>
  <c r="N42" i="2" s="1"/>
  <c r="O42" i="2" a="1"/>
  <c r="O42" i="2" s="1"/>
  <c r="P42" i="2" a="1"/>
  <c r="P42" i="2" s="1"/>
  <c r="Q42" i="2" a="1"/>
  <c r="Q42" i="2" s="1"/>
  <c r="R42" i="2" a="1"/>
  <c r="R42" i="2" s="1"/>
  <c r="S42" i="2" a="1"/>
  <c r="S42" i="2" s="1"/>
  <c r="T42" i="2" a="1"/>
  <c r="T42" i="2" s="1"/>
  <c r="U42" i="2" a="1"/>
  <c r="U42" i="2" s="1"/>
  <c r="V42" i="2" a="1"/>
  <c r="V42" i="2" s="1"/>
  <c r="W42" i="2" a="1"/>
  <c r="W42" i="2" s="1"/>
  <c r="X42" i="2" a="1"/>
  <c r="X42" i="2" s="1"/>
  <c r="Y42" i="2" a="1"/>
  <c r="Y42" i="2" s="1"/>
  <c r="Z42" i="2" a="1"/>
  <c r="Z42" i="2" s="1"/>
  <c r="AA42" i="2" a="1"/>
  <c r="AA42" i="2" s="1"/>
  <c r="AB42" i="2" a="1"/>
  <c r="AB42" i="2" s="1"/>
  <c r="AC42" i="2" a="1"/>
  <c r="AC42" i="2" s="1"/>
  <c r="C43" i="2" a="1"/>
  <c r="C43" i="2" s="1"/>
  <c r="D43" i="2" a="1"/>
  <c r="D43" i="2" s="1"/>
  <c r="E43" i="2" a="1"/>
  <c r="E43" i="2" s="1"/>
  <c r="F43" i="2" a="1"/>
  <c r="F43" i="2" s="1"/>
  <c r="G43" i="2" a="1"/>
  <c r="G43" i="2" s="1"/>
  <c r="H43" i="2" a="1"/>
  <c r="H43" i="2" s="1"/>
  <c r="I43" i="2" a="1"/>
  <c r="I43" i="2" s="1"/>
  <c r="J43" i="2" a="1"/>
  <c r="J43" i="2" s="1"/>
  <c r="K43" i="2" a="1"/>
  <c r="K43" i="2" s="1"/>
  <c r="L43" i="2" a="1"/>
  <c r="L43" i="2" s="1"/>
  <c r="M43" i="2" a="1"/>
  <c r="M43" i="2" s="1"/>
  <c r="N43" i="2" a="1"/>
  <c r="N43" i="2" s="1"/>
  <c r="O43" i="2" a="1"/>
  <c r="O43" i="2" s="1"/>
  <c r="P43" i="2" a="1"/>
  <c r="P43" i="2" s="1"/>
  <c r="Q43" i="2" a="1"/>
  <c r="Q43" i="2" s="1"/>
  <c r="R43" i="2" a="1"/>
  <c r="R43" i="2" s="1"/>
  <c r="S43" i="2" a="1"/>
  <c r="S43" i="2" s="1"/>
  <c r="T43" i="2" a="1"/>
  <c r="T43" i="2" s="1"/>
  <c r="U43" i="2" a="1"/>
  <c r="U43" i="2" s="1"/>
  <c r="V43" i="2" a="1"/>
  <c r="V43" i="2" s="1"/>
  <c r="W43" i="2" a="1"/>
  <c r="W43" i="2" s="1"/>
  <c r="X43" i="2" a="1"/>
  <c r="X43" i="2" s="1"/>
  <c r="Y43" i="2" a="1"/>
  <c r="Y43" i="2" s="1"/>
  <c r="Z43" i="2" a="1"/>
  <c r="Z43" i="2" s="1"/>
  <c r="AA43" i="2" a="1"/>
  <c r="AA43" i="2" s="1"/>
  <c r="AB43" i="2" a="1"/>
  <c r="AB43" i="2" s="1"/>
  <c r="AC43" i="2" a="1"/>
  <c r="AC43" i="2" s="1"/>
  <c r="C44" i="2" a="1"/>
  <c r="C44" i="2" s="1"/>
  <c r="D44" i="2" a="1"/>
  <c r="D44" i="2" s="1"/>
  <c r="E44" i="2" a="1"/>
  <c r="E44" i="2" s="1"/>
  <c r="F44" i="2" a="1"/>
  <c r="F44" i="2" s="1"/>
  <c r="G44" i="2" a="1"/>
  <c r="G44" i="2" s="1"/>
  <c r="H44" i="2" a="1"/>
  <c r="H44" i="2" s="1"/>
  <c r="I44" i="2" a="1"/>
  <c r="I44" i="2" s="1"/>
  <c r="J44" i="2" a="1"/>
  <c r="J44" i="2" s="1"/>
  <c r="K44" i="2" a="1"/>
  <c r="K44" i="2" s="1"/>
  <c r="L44" i="2" a="1"/>
  <c r="L44" i="2" s="1"/>
  <c r="M44" i="2" a="1"/>
  <c r="M44" i="2" s="1"/>
  <c r="N44" i="2" a="1"/>
  <c r="N44" i="2" s="1"/>
  <c r="O44" i="2" a="1"/>
  <c r="O44" i="2" s="1"/>
  <c r="P44" i="2" a="1"/>
  <c r="P44" i="2" s="1"/>
  <c r="Q44" i="2" a="1"/>
  <c r="Q44" i="2" s="1"/>
  <c r="R44" i="2" a="1"/>
  <c r="R44" i="2" s="1"/>
  <c r="S44" i="2" a="1"/>
  <c r="S44" i="2" s="1"/>
  <c r="T44" i="2" a="1"/>
  <c r="T44" i="2" s="1"/>
  <c r="U44" i="2" a="1"/>
  <c r="U44" i="2" s="1"/>
  <c r="V44" i="2" a="1"/>
  <c r="V44" i="2" s="1"/>
  <c r="W44" i="2" a="1"/>
  <c r="W44" i="2" s="1"/>
  <c r="X44" i="2" a="1"/>
  <c r="X44" i="2" s="1"/>
  <c r="Y44" i="2" a="1"/>
  <c r="Y44" i="2" s="1"/>
  <c r="Z44" i="2" a="1"/>
  <c r="Z44" i="2" s="1"/>
  <c r="AA44" i="2" a="1"/>
  <c r="AA44" i="2" s="1"/>
  <c r="AB44" i="2" a="1"/>
  <c r="AB44" i="2" s="1"/>
  <c r="AC44" i="2" a="1"/>
  <c r="AC44" i="2" s="1"/>
  <c r="C45" i="2" a="1"/>
  <c r="C45" i="2" s="1"/>
  <c r="D45" i="2" a="1"/>
  <c r="D45" i="2" s="1"/>
  <c r="E45" i="2" a="1"/>
  <c r="E45" i="2" s="1"/>
  <c r="F45" i="2" a="1"/>
  <c r="F45" i="2" s="1"/>
  <c r="G45" i="2" a="1"/>
  <c r="G45" i="2" s="1"/>
  <c r="H45" i="2" a="1"/>
  <c r="H45" i="2" s="1"/>
  <c r="I45" i="2" a="1"/>
  <c r="I45" i="2" s="1"/>
  <c r="J45" i="2" a="1"/>
  <c r="J45" i="2" s="1"/>
  <c r="K45" i="2" a="1"/>
  <c r="K45" i="2" s="1"/>
  <c r="L45" i="2" a="1"/>
  <c r="L45" i="2" s="1"/>
  <c r="M45" i="2" a="1"/>
  <c r="M45" i="2" s="1"/>
  <c r="N45" i="2" a="1"/>
  <c r="N45" i="2" s="1"/>
  <c r="O45" i="2" a="1"/>
  <c r="O45" i="2" s="1"/>
  <c r="P45" i="2" a="1"/>
  <c r="P45" i="2" s="1"/>
  <c r="Q45" i="2" a="1"/>
  <c r="Q45" i="2" s="1"/>
  <c r="R45" i="2" a="1"/>
  <c r="R45" i="2" s="1"/>
  <c r="S45" i="2" a="1"/>
  <c r="S45" i="2" s="1"/>
  <c r="T45" i="2" a="1"/>
  <c r="T45" i="2" s="1"/>
  <c r="U45" i="2" a="1"/>
  <c r="U45" i="2" s="1"/>
  <c r="V45" i="2" a="1"/>
  <c r="V45" i="2" s="1"/>
  <c r="W45" i="2" a="1"/>
  <c r="W45" i="2" s="1"/>
  <c r="X45" i="2" a="1"/>
  <c r="X45" i="2" s="1"/>
  <c r="Y45" i="2" a="1"/>
  <c r="Y45" i="2" s="1"/>
  <c r="Z45" i="2" a="1"/>
  <c r="Z45" i="2" s="1"/>
  <c r="AA45" i="2" a="1"/>
  <c r="AA45" i="2" s="1"/>
  <c r="AB45" i="2" a="1"/>
  <c r="AB45" i="2" s="1"/>
  <c r="AC45" i="2" a="1"/>
  <c r="AC45" i="2" s="1"/>
  <c r="C46" i="2" a="1"/>
  <c r="C46" i="2" s="1"/>
  <c r="D46" i="2" a="1"/>
  <c r="D46" i="2" s="1"/>
  <c r="E46" i="2" a="1"/>
  <c r="E46" i="2" s="1"/>
  <c r="F46" i="2" a="1"/>
  <c r="F46" i="2" s="1"/>
  <c r="G46" i="2" a="1"/>
  <c r="G46" i="2" s="1"/>
  <c r="H46" i="2" a="1"/>
  <c r="H46" i="2" s="1"/>
  <c r="I46" i="2" a="1"/>
  <c r="I46" i="2" s="1"/>
  <c r="J46" i="2" a="1"/>
  <c r="J46" i="2" s="1"/>
  <c r="K46" i="2" a="1"/>
  <c r="K46" i="2" s="1"/>
  <c r="L46" i="2" a="1"/>
  <c r="L46" i="2" s="1"/>
  <c r="M46" i="2" a="1"/>
  <c r="M46" i="2" s="1"/>
  <c r="N46" i="2" a="1"/>
  <c r="N46" i="2" s="1"/>
  <c r="O46" i="2" a="1"/>
  <c r="O46" i="2" s="1"/>
  <c r="P46" i="2" a="1"/>
  <c r="P46" i="2" s="1"/>
  <c r="Q46" i="2" a="1"/>
  <c r="Q46" i="2" s="1"/>
  <c r="R46" i="2" a="1"/>
  <c r="R46" i="2" s="1"/>
  <c r="S46" i="2" a="1"/>
  <c r="S46" i="2" s="1"/>
  <c r="T46" i="2" a="1"/>
  <c r="T46" i="2" s="1"/>
  <c r="U46" i="2" a="1"/>
  <c r="U46" i="2" s="1"/>
  <c r="V46" i="2" a="1"/>
  <c r="V46" i="2" s="1"/>
  <c r="W46" i="2" a="1"/>
  <c r="W46" i="2" s="1"/>
  <c r="X46" i="2" a="1"/>
  <c r="X46" i="2" s="1"/>
  <c r="Y46" i="2" a="1"/>
  <c r="Y46" i="2" s="1"/>
  <c r="Z46" i="2" a="1"/>
  <c r="Z46" i="2" s="1"/>
  <c r="AA46" i="2" a="1"/>
  <c r="AA46" i="2" s="1"/>
  <c r="AB46" i="2" a="1"/>
  <c r="AB46" i="2" s="1"/>
  <c r="AC46" i="2" a="1"/>
  <c r="AC46" i="2" s="1"/>
  <c r="C47" i="2" a="1"/>
  <c r="C47" i="2" s="1"/>
  <c r="D47" i="2" a="1"/>
  <c r="D47" i="2" s="1"/>
  <c r="E47" i="2" a="1"/>
  <c r="E47" i="2" s="1"/>
  <c r="F47" i="2" a="1"/>
  <c r="F47" i="2" s="1"/>
  <c r="G47" i="2" a="1"/>
  <c r="G47" i="2" s="1"/>
  <c r="H47" i="2" a="1"/>
  <c r="H47" i="2" s="1"/>
  <c r="I47" i="2" a="1"/>
  <c r="I47" i="2" s="1"/>
  <c r="J47" i="2" a="1"/>
  <c r="J47" i="2" s="1"/>
  <c r="K47" i="2" a="1"/>
  <c r="K47" i="2" s="1"/>
  <c r="L47" i="2" a="1"/>
  <c r="L47" i="2" s="1"/>
  <c r="M47" i="2" a="1"/>
  <c r="M47" i="2" s="1"/>
  <c r="N47" i="2" a="1"/>
  <c r="N47" i="2" s="1"/>
  <c r="O47" i="2" a="1"/>
  <c r="O47" i="2" s="1"/>
  <c r="P47" i="2" a="1"/>
  <c r="P47" i="2" s="1"/>
  <c r="Q47" i="2" a="1"/>
  <c r="Q47" i="2" s="1"/>
  <c r="R47" i="2" a="1"/>
  <c r="R47" i="2" s="1"/>
  <c r="S47" i="2" a="1"/>
  <c r="S47" i="2" s="1"/>
  <c r="T47" i="2" a="1"/>
  <c r="T47" i="2" s="1"/>
  <c r="U47" i="2" a="1"/>
  <c r="U47" i="2" s="1"/>
  <c r="V47" i="2" a="1"/>
  <c r="V47" i="2" s="1"/>
  <c r="W47" i="2" a="1"/>
  <c r="W47" i="2" s="1"/>
  <c r="X47" i="2" a="1"/>
  <c r="X47" i="2" s="1"/>
  <c r="Y47" i="2" a="1"/>
  <c r="Y47" i="2" s="1"/>
  <c r="Z47" i="2" a="1"/>
  <c r="Z47" i="2" s="1"/>
  <c r="AA47" i="2" a="1"/>
  <c r="AA47" i="2" s="1"/>
  <c r="AB47" i="2" a="1"/>
  <c r="AB47" i="2" s="1"/>
  <c r="AC47" i="2" a="1"/>
  <c r="AC47" i="2" s="1"/>
  <c r="C50" i="2" a="1"/>
  <c r="C50" i="2" s="1"/>
  <c r="D50" i="2" a="1"/>
  <c r="D50" i="2" s="1"/>
  <c r="E50" i="2" a="1"/>
  <c r="E50" i="2" s="1"/>
  <c r="F50" i="2" a="1"/>
  <c r="F50" i="2" s="1"/>
  <c r="G50" i="2" a="1"/>
  <c r="G50" i="2" s="1"/>
  <c r="H50" i="2" a="1"/>
  <c r="H50" i="2" s="1"/>
  <c r="I50" i="2" a="1"/>
  <c r="I50" i="2" s="1"/>
  <c r="J50" i="2" a="1"/>
  <c r="J50" i="2" s="1"/>
  <c r="K50" i="2" a="1"/>
  <c r="K50" i="2" s="1"/>
  <c r="L50" i="2" a="1"/>
  <c r="L50" i="2" s="1"/>
  <c r="M50" i="2" a="1"/>
  <c r="M50" i="2" s="1"/>
  <c r="N50" i="2" a="1"/>
  <c r="N50" i="2" s="1"/>
  <c r="O50" i="2" a="1"/>
  <c r="O50" i="2" s="1"/>
  <c r="P50" i="2" a="1"/>
  <c r="P50" i="2" s="1"/>
  <c r="Q50" i="2" a="1"/>
  <c r="Q50" i="2" s="1"/>
  <c r="R50" i="2" a="1"/>
  <c r="R50" i="2" s="1"/>
  <c r="S50" i="2" a="1"/>
  <c r="S50" i="2" s="1"/>
  <c r="T50" i="2" a="1"/>
  <c r="T50" i="2" s="1"/>
  <c r="U50" i="2" a="1"/>
  <c r="U50" i="2" s="1"/>
  <c r="V50" i="2" a="1"/>
  <c r="V50" i="2" s="1"/>
  <c r="W50" i="2" a="1"/>
  <c r="W50" i="2" s="1"/>
  <c r="X50" i="2" a="1"/>
  <c r="X50" i="2" s="1"/>
  <c r="Y50" i="2" a="1"/>
  <c r="Y50" i="2" s="1"/>
  <c r="Z50" i="2" a="1"/>
  <c r="Z50" i="2" s="1"/>
  <c r="AA50" i="2" a="1"/>
  <c r="AA50" i="2" s="1"/>
  <c r="AB50" i="2" a="1"/>
  <c r="AB50" i="2" s="1"/>
  <c r="AC50" i="2" a="1"/>
  <c r="AC50" i="2" s="1"/>
  <c r="C51" i="2" a="1"/>
  <c r="C51" i="2" s="1"/>
  <c r="D51" i="2" a="1"/>
  <c r="D51" i="2" s="1"/>
  <c r="E51" i="2" a="1"/>
  <c r="E51" i="2" s="1"/>
  <c r="F51" i="2" a="1"/>
  <c r="F51" i="2" s="1"/>
  <c r="G51" i="2" a="1"/>
  <c r="G51" i="2" s="1"/>
  <c r="H51" i="2" a="1"/>
  <c r="H51" i="2" s="1"/>
  <c r="I51" i="2" a="1"/>
  <c r="I51" i="2" s="1"/>
  <c r="J51" i="2" a="1"/>
  <c r="J51" i="2" s="1"/>
  <c r="K51" i="2" a="1"/>
  <c r="K51" i="2" s="1"/>
  <c r="L51" i="2" a="1"/>
  <c r="L51" i="2" s="1"/>
  <c r="M51" i="2" a="1"/>
  <c r="M51" i="2" s="1"/>
  <c r="N51" i="2" a="1"/>
  <c r="N51" i="2" s="1"/>
  <c r="O51" i="2" a="1"/>
  <c r="O51" i="2" s="1"/>
  <c r="P51" i="2" a="1"/>
  <c r="P51" i="2" s="1"/>
  <c r="Q51" i="2" a="1"/>
  <c r="Q51" i="2" s="1"/>
  <c r="R51" i="2" a="1"/>
  <c r="R51" i="2" s="1"/>
  <c r="S51" i="2" a="1"/>
  <c r="S51" i="2" s="1"/>
  <c r="T51" i="2" a="1"/>
  <c r="T51" i="2" s="1"/>
  <c r="U51" i="2" a="1"/>
  <c r="U51" i="2" s="1"/>
  <c r="V51" i="2" a="1"/>
  <c r="V51" i="2" s="1"/>
  <c r="W51" i="2" a="1"/>
  <c r="W51" i="2" s="1"/>
  <c r="X51" i="2" a="1"/>
  <c r="X51" i="2" s="1"/>
  <c r="Y51" i="2" a="1"/>
  <c r="Y51" i="2" s="1"/>
  <c r="Z51" i="2" a="1"/>
  <c r="Z51" i="2" s="1"/>
  <c r="AA51" i="2" a="1"/>
  <c r="AA51" i="2" s="1"/>
  <c r="AB51" i="2" a="1"/>
  <c r="AB51" i="2" s="1"/>
  <c r="AC51" i="2" a="1"/>
  <c r="AC51" i="2" s="1"/>
  <c r="C52" i="2" a="1"/>
  <c r="C52" i="2" s="1"/>
  <c r="D52" i="2" a="1"/>
  <c r="D52" i="2" s="1"/>
  <c r="E52" i="2" a="1"/>
  <c r="E52" i="2" s="1"/>
  <c r="F52" i="2" a="1"/>
  <c r="F52" i="2" s="1"/>
  <c r="G52" i="2" a="1"/>
  <c r="G52" i="2" s="1"/>
  <c r="H52" i="2" a="1"/>
  <c r="H52" i="2" s="1"/>
  <c r="I52" i="2" a="1"/>
  <c r="I52" i="2" s="1"/>
  <c r="J52" i="2" a="1"/>
  <c r="J52" i="2" s="1"/>
  <c r="K52" i="2" a="1"/>
  <c r="K52" i="2" s="1"/>
  <c r="L52" i="2" a="1"/>
  <c r="L52" i="2" s="1"/>
  <c r="M52" i="2" a="1"/>
  <c r="M52" i="2" s="1"/>
  <c r="N52" i="2" a="1"/>
  <c r="N52" i="2" s="1"/>
  <c r="O52" i="2" a="1"/>
  <c r="O52" i="2" s="1"/>
  <c r="P52" i="2" a="1"/>
  <c r="P52" i="2" s="1"/>
  <c r="Q52" i="2" a="1"/>
  <c r="Q52" i="2" s="1"/>
  <c r="R52" i="2" a="1"/>
  <c r="R52" i="2" s="1"/>
  <c r="S52" i="2" a="1"/>
  <c r="S52" i="2" s="1"/>
  <c r="T52" i="2" a="1"/>
  <c r="T52" i="2" s="1"/>
  <c r="U52" i="2" a="1"/>
  <c r="U52" i="2" s="1"/>
  <c r="V52" i="2" a="1"/>
  <c r="V52" i="2" s="1"/>
  <c r="W52" i="2" a="1"/>
  <c r="W52" i="2" s="1"/>
  <c r="X52" i="2" a="1"/>
  <c r="X52" i="2" s="1"/>
  <c r="Y52" i="2" a="1"/>
  <c r="Y52" i="2" s="1"/>
  <c r="Z52" i="2" a="1"/>
  <c r="Z52" i="2" s="1"/>
  <c r="AA52" i="2" a="1"/>
  <c r="AA52" i="2" s="1"/>
  <c r="AB52" i="2" a="1"/>
  <c r="AB52" i="2" s="1"/>
  <c r="AC52" i="2" a="1"/>
  <c r="AC52" i="2" s="1"/>
  <c r="C53" i="2" a="1"/>
  <c r="C53" i="2" s="1"/>
  <c r="D53" i="2" a="1"/>
  <c r="D53" i="2" s="1"/>
  <c r="E53" i="2" a="1"/>
  <c r="E53" i="2" s="1"/>
  <c r="F53" i="2" a="1"/>
  <c r="F53" i="2" s="1"/>
  <c r="G53" i="2" a="1"/>
  <c r="G53" i="2" s="1"/>
  <c r="H53" i="2" a="1"/>
  <c r="H53" i="2" s="1"/>
  <c r="I53" i="2" a="1"/>
  <c r="I53" i="2" s="1"/>
  <c r="J53" i="2" a="1"/>
  <c r="J53" i="2" s="1"/>
  <c r="K53" i="2" a="1"/>
  <c r="K53" i="2" s="1"/>
  <c r="L53" i="2" a="1"/>
  <c r="L53" i="2" s="1"/>
  <c r="M53" i="2" a="1"/>
  <c r="M53" i="2" s="1"/>
  <c r="N53" i="2" a="1"/>
  <c r="N53" i="2" s="1"/>
  <c r="O53" i="2" a="1"/>
  <c r="O53" i="2" s="1"/>
  <c r="P53" i="2" a="1"/>
  <c r="P53" i="2" s="1"/>
  <c r="Q53" i="2" a="1"/>
  <c r="Q53" i="2" s="1"/>
  <c r="R53" i="2" a="1"/>
  <c r="R53" i="2" s="1"/>
  <c r="S53" i="2" a="1"/>
  <c r="S53" i="2" s="1"/>
  <c r="T53" i="2" a="1"/>
  <c r="T53" i="2" s="1"/>
  <c r="U53" i="2" a="1"/>
  <c r="U53" i="2" s="1"/>
  <c r="V53" i="2" a="1"/>
  <c r="V53" i="2" s="1"/>
  <c r="W53" i="2" a="1"/>
  <c r="W53" i="2" s="1"/>
  <c r="X53" i="2" a="1"/>
  <c r="X53" i="2" s="1"/>
  <c r="Y53" i="2" a="1"/>
  <c r="Y53" i="2" s="1"/>
  <c r="Z53" i="2" a="1"/>
  <c r="Z53" i="2" s="1"/>
  <c r="AA53" i="2" a="1"/>
  <c r="AA53" i="2" s="1"/>
  <c r="AB53" i="2" a="1"/>
  <c r="AB53" i="2" s="1"/>
  <c r="AC53" i="2" a="1"/>
  <c r="AC53" i="2" s="1"/>
  <c r="C54" i="2" a="1"/>
  <c r="C54" i="2" s="1"/>
  <c r="D54" i="2" a="1"/>
  <c r="D54" i="2" s="1"/>
  <c r="E54" i="2" a="1"/>
  <c r="E54" i="2" s="1"/>
  <c r="F54" i="2" a="1"/>
  <c r="F54" i="2" s="1"/>
  <c r="G54" i="2" a="1"/>
  <c r="G54" i="2" s="1"/>
  <c r="H54" i="2" a="1"/>
  <c r="H54" i="2" s="1"/>
  <c r="I54" i="2" a="1"/>
  <c r="I54" i="2" s="1"/>
  <c r="J54" i="2" a="1"/>
  <c r="J54" i="2" s="1"/>
  <c r="K54" i="2" a="1"/>
  <c r="K54" i="2" s="1"/>
  <c r="L54" i="2" a="1"/>
  <c r="L54" i="2" s="1"/>
  <c r="M54" i="2" a="1"/>
  <c r="M54" i="2" s="1"/>
  <c r="N54" i="2" a="1"/>
  <c r="N54" i="2" s="1"/>
  <c r="O54" i="2" a="1"/>
  <c r="O54" i="2" s="1"/>
  <c r="P54" i="2" a="1"/>
  <c r="P54" i="2" s="1"/>
  <c r="Q54" i="2" a="1"/>
  <c r="Q54" i="2" s="1"/>
  <c r="R54" i="2" a="1"/>
  <c r="R54" i="2" s="1"/>
  <c r="S54" i="2" a="1"/>
  <c r="S54" i="2" s="1"/>
  <c r="T54" i="2" a="1"/>
  <c r="T54" i="2" s="1"/>
  <c r="U54" i="2" a="1"/>
  <c r="U54" i="2" s="1"/>
  <c r="V54" i="2" a="1"/>
  <c r="V54" i="2" s="1"/>
  <c r="W54" i="2" a="1"/>
  <c r="W54" i="2" s="1"/>
  <c r="X54" i="2" a="1"/>
  <c r="X54" i="2" s="1"/>
  <c r="Y54" i="2" a="1"/>
  <c r="Y54" i="2" s="1"/>
  <c r="Z54" i="2" a="1"/>
  <c r="Z54" i="2" s="1"/>
  <c r="AA54" i="2" a="1"/>
  <c r="AA54" i="2" s="1"/>
  <c r="AB54" i="2" a="1"/>
  <c r="AB54" i="2" s="1"/>
  <c r="AC54" i="2" a="1"/>
  <c r="AC54" i="2" s="1"/>
  <c r="C55" i="2" a="1"/>
  <c r="C55" i="2" s="1"/>
  <c r="D55" i="2" a="1"/>
  <c r="D55" i="2" s="1"/>
  <c r="E55" i="2" a="1"/>
  <c r="E55" i="2" s="1"/>
  <c r="F55" i="2" a="1"/>
  <c r="F55" i="2" s="1"/>
  <c r="G55" i="2" a="1"/>
  <c r="G55" i="2" s="1"/>
  <c r="H55" i="2" a="1"/>
  <c r="H55" i="2" s="1"/>
  <c r="I55" i="2" a="1"/>
  <c r="I55" i="2" s="1"/>
  <c r="J55" i="2" a="1"/>
  <c r="J55" i="2" s="1"/>
  <c r="K55" i="2" a="1"/>
  <c r="K55" i="2" s="1"/>
  <c r="L55" i="2" a="1"/>
  <c r="L55" i="2" s="1"/>
  <c r="M55" i="2" a="1"/>
  <c r="M55" i="2" s="1"/>
  <c r="N55" i="2" a="1"/>
  <c r="N55" i="2" s="1"/>
  <c r="O55" i="2" a="1"/>
  <c r="O55" i="2" s="1"/>
  <c r="P55" i="2" a="1"/>
  <c r="P55" i="2" s="1"/>
  <c r="Q55" i="2" a="1"/>
  <c r="Q55" i="2" s="1"/>
  <c r="R55" i="2" a="1"/>
  <c r="R55" i="2" s="1"/>
  <c r="S55" i="2" a="1"/>
  <c r="S55" i="2" s="1"/>
  <c r="T55" i="2" a="1"/>
  <c r="T55" i="2" s="1"/>
  <c r="U55" i="2" a="1"/>
  <c r="U55" i="2" s="1"/>
  <c r="V55" i="2" a="1"/>
  <c r="V55" i="2" s="1"/>
  <c r="W55" i="2" a="1"/>
  <c r="W55" i="2" s="1"/>
  <c r="X55" i="2" a="1"/>
  <c r="X55" i="2" s="1"/>
  <c r="Y55" i="2" a="1"/>
  <c r="Y55" i="2" s="1"/>
  <c r="Z55" i="2" a="1"/>
  <c r="Z55" i="2" s="1"/>
  <c r="AA55" i="2" a="1"/>
  <c r="AA55" i="2" s="1"/>
  <c r="AB55" i="2" a="1"/>
  <c r="AB55" i="2" s="1"/>
  <c r="AC55" i="2" a="1"/>
  <c r="AC55" i="2" s="1"/>
  <c r="C57" i="2" a="1"/>
  <c r="C57" i="2" s="1"/>
  <c r="D57" i="2" a="1"/>
  <c r="D57" i="2" s="1"/>
  <c r="E57" i="2" a="1"/>
  <c r="E57" i="2" s="1"/>
  <c r="F57" i="2" a="1"/>
  <c r="F57" i="2" s="1"/>
  <c r="G57" i="2" a="1"/>
  <c r="G57" i="2" s="1"/>
  <c r="H57" i="2" a="1"/>
  <c r="H57" i="2" s="1"/>
  <c r="I57" i="2" a="1"/>
  <c r="I57" i="2" s="1"/>
  <c r="J57" i="2" a="1"/>
  <c r="J57" i="2" s="1"/>
  <c r="K57" i="2" a="1"/>
  <c r="K57" i="2" s="1"/>
  <c r="L57" i="2" a="1"/>
  <c r="L57" i="2" s="1"/>
  <c r="M57" i="2" a="1"/>
  <c r="M57" i="2" s="1"/>
  <c r="N57" i="2" a="1"/>
  <c r="N57" i="2" s="1"/>
  <c r="O57" i="2" a="1"/>
  <c r="O57" i="2" s="1"/>
  <c r="P57" i="2" a="1"/>
  <c r="P57" i="2" s="1"/>
  <c r="Q57" i="2" a="1"/>
  <c r="Q57" i="2" s="1"/>
  <c r="R57" i="2" a="1"/>
  <c r="R57" i="2" s="1"/>
  <c r="S57" i="2" a="1"/>
  <c r="S57" i="2" s="1"/>
  <c r="T57" i="2" a="1"/>
  <c r="T57" i="2" s="1"/>
  <c r="U57" i="2" a="1"/>
  <c r="U57" i="2" s="1"/>
  <c r="V57" i="2" a="1"/>
  <c r="V57" i="2" s="1"/>
  <c r="W57" i="2" a="1"/>
  <c r="W57" i="2" s="1"/>
  <c r="X57" i="2" a="1"/>
  <c r="X57" i="2" s="1"/>
  <c r="Y57" i="2" a="1"/>
  <c r="Y57" i="2" s="1"/>
  <c r="Z57" i="2" a="1"/>
  <c r="Z57" i="2" s="1"/>
  <c r="AA57" i="2" a="1"/>
  <c r="AA57" i="2" s="1"/>
  <c r="AB57" i="2" a="1"/>
  <c r="AB57" i="2" s="1"/>
  <c r="AC57" i="2" a="1"/>
  <c r="AC57" i="2" s="1"/>
  <c r="C58" i="2" a="1"/>
  <c r="C58" i="2" s="1"/>
  <c r="D58" i="2" a="1"/>
  <c r="D58" i="2" s="1"/>
  <c r="E58" i="2" a="1"/>
  <c r="E58" i="2" s="1"/>
  <c r="F58" i="2" a="1"/>
  <c r="F58" i="2" s="1"/>
  <c r="G58" i="2" a="1"/>
  <c r="G58" i="2" s="1"/>
  <c r="H58" i="2" a="1"/>
  <c r="H58" i="2" s="1"/>
  <c r="I58" i="2" a="1"/>
  <c r="I58" i="2" s="1"/>
  <c r="J58" i="2" a="1"/>
  <c r="J58" i="2" s="1"/>
  <c r="K58" i="2" a="1"/>
  <c r="K58" i="2" s="1"/>
  <c r="L58" i="2" a="1"/>
  <c r="L58" i="2" s="1"/>
  <c r="M58" i="2" a="1"/>
  <c r="M58" i="2" s="1"/>
  <c r="N58" i="2" a="1"/>
  <c r="N58" i="2" s="1"/>
  <c r="O58" i="2" a="1"/>
  <c r="O58" i="2" s="1"/>
  <c r="P58" i="2" a="1"/>
  <c r="P58" i="2" s="1"/>
  <c r="Q58" i="2" a="1"/>
  <c r="Q58" i="2" s="1"/>
  <c r="R58" i="2" a="1"/>
  <c r="R58" i="2" s="1"/>
  <c r="S58" i="2" a="1"/>
  <c r="S58" i="2" s="1"/>
  <c r="T58" i="2" a="1"/>
  <c r="T58" i="2" s="1"/>
  <c r="U58" i="2" a="1"/>
  <c r="U58" i="2" s="1"/>
  <c r="V58" i="2" a="1"/>
  <c r="V58" i="2" s="1"/>
  <c r="W58" i="2" a="1"/>
  <c r="W58" i="2" s="1"/>
  <c r="X58" i="2" a="1"/>
  <c r="X58" i="2" s="1"/>
  <c r="Y58" i="2" a="1"/>
  <c r="Y58" i="2" s="1"/>
  <c r="Z58" i="2" a="1"/>
  <c r="Z58" i="2" s="1"/>
  <c r="AA58" i="2" a="1"/>
  <c r="AA58" i="2" s="1"/>
  <c r="AB58" i="2" a="1"/>
  <c r="AB58" i="2" s="1"/>
  <c r="AC58" i="2" a="1"/>
  <c r="AC58" i="2" s="1"/>
  <c r="C59" i="2" a="1"/>
  <c r="C59" i="2" s="1"/>
  <c r="D59" i="2" a="1"/>
  <c r="D59" i="2" s="1"/>
  <c r="E59" i="2" a="1"/>
  <c r="E59" i="2" s="1"/>
  <c r="F59" i="2" a="1"/>
  <c r="F59" i="2" s="1"/>
  <c r="G59" i="2" a="1"/>
  <c r="G59" i="2" s="1"/>
  <c r="H59" i="2" a="1"/>
  <c r="H59" i="2" s="1"/>
  <c r="I59" i="2" a="1"/>
  <c r="I59" i="2" s="1"/>
  <c r="J59" i="2" a="1"/>
  <c r="J59" i="2" s="1"/>
  <c r="K59" i="2" a="1"/>
  <c r="K59" i="2" s="1"/>
  <c r="L59" i="2" a="1"/>
  <c r="L59" i="2" s="1"/>
  <c r="M59" i="2" a="1"/>
  <c r="M59" i="2" s="1"/>
  <c r="N59" i="2" a="1"/>
  <c r="N59" i="2" s="1"/>
  <c r="O59" i="2" a="1"/>
  <c r="O59" i="2" s="1"/>
  <c r="P59" i="2" a="1"/>
  <c r="P59" i="2" s="1"/>
  <c r="Q59" i="2" a="1"/>
  <c r="Q59" i="2" s="1"/>
  <c r="R59" i="2" a="1"/>
  <c r="R59" i="2" s="1"/>
  <c r="S59" i="2" a="1"/>
  <c r="S59" i="2" s="1"/>
  <c r="T59" i="2" a="1"/>
  <c r="T59" i="2" s="1"/>
  <c r="U59" i="2" a="1"/>
  <c r="U59" i="2" s="1"/>
  <c r="V59" i="2" a="1"/>
  <c r="V59" i="2" s="1"/>
  <c r="W59" i="2" a="1"/>
  <c r="W59" i="2" s="1"/>
  <c r="X59" i="2" a="1"/>
  <c r="X59" i="2" s="1"/>
  <c r="Y59" i="2" a="1"/>
  <c r="Y59" i="2" s="1"/>
  <c r="Z59" i="2" a="1"/>
  <c r="Z59" i="2" s="1"/>
  <c r="AA59" i="2" a="1"/>
  <c r="AA59" i="2" s="1"/>
  <c r="AB59" i="2" a="1"/>
  <c r="AB59" i="2" s="1"/>
  <c r="AC59" i="2" a="1"/>
  <c r="AC59" i="2" s="1"/>
  <c r="C60" i="2" a="1"/>
  <c r="C60" i="2" s="1"/>
  <c r="D60" i="2" a="1"/>
  <c r="D60" i="2" s="1"/>
  <c r="E60" i="2" a="1"/>
  <c r="E60" i="2" s="1"/>
  <c r="F60" i="2" a="1"/>
  <c r="F60" i="2" s="1"/>
  <c r="G60" i="2" a="1"/>
  <c r="G60" i="2" s="1"/>
  <c r="H60" i="2" a="1"/>
  <c r="H60" i="2" s="1"/>
  <c r="I60" i="2" a="1"/>
  <c r="I60" i="2" s="1"/>
  <c r="J60" i="2" a="1"/>
  <c r="J60" i="2" s="1"/>
  <c r="K60" i="2" a="1"/>
  <c r="K60" i="2" s="1"/>
  <c r="L60" i="2" a="1"/>
  <c r="L60" i="2" s="1"/>
  <c r="M60" i="2" a="1"/>
  <c r="M60" i="2" s="1"/>
  <c r="N60" i="2" a="1"/>
  <c r="N60" i="2" s="1"/>
  <c r="O60" i="2" a="1"/>
  <c r="O60" i="2" s="1"/>
  <c r="P60" i="2" a="1"/>
  <c r="P60" i="2" s="1"/>
  <c r="Q60" i="2" a="1"/>
  <c r="Q60" i="2" s="1"/>
  <c r="R60" i="2" a="1"/>
  <c r="R60" i="2" s="1"/>
  <c r="S60" i="2" a="1"/>
  <c r="S60" i="2" s="1"/>
  <c r="T60" i="2" a="1"/>
  <c r="T60" i="2" s="1"/>
  <c r="U60" i="2" a="1"/>
  <c r="U60" i="2" s="1"/>
  <c r="V60" i="2" a="1"/>
  <c r="V60" i="2" s="1"/>
  <c r="W60" i="2" a="1"/>
  <c r="W60" i="2" s="1"/>
  <c r="X60" i="2" a="1"/>
  <c r="X60" i="2" s="1"/>
  <c r="Y60" i="2" a="1"/>
  <c r="Y60" i="2" s="1"/>
  <c r="Z60" i="2" a="1"/>
  <c r="Z60" i="2" s="1"/>
  <c r="AA60" i="2" a="1"/>
  <c r="AA60" i="2" s="1"/>
  <c r="AB60" i="2" a="1"/>
  <c r="AB60" i="2" s="1"/>
  <c r="AC60" i="2" a="1"/>
  <c r="AC60" i="2" s="1"/>
  <c r="C61" i="2" a="1"/>
  <c r="C61" i="2" s="1"/>
  <c r="D61" i="2" a="1"/>
  <c r="D61" i="2" s="1"/>
  <c r="E61" i="2" a="1"/>
  <c r="E61" i="2" s="1"/>
  <c r="F61" i="2" a="1"/>
  <c r="F61" i="2" s="1"/>
  <c r="G61" i="2" a="1"/>
  <c r="G61" i="2" s="1"/>
  <c r="H61" i="2" a="1"/>
  <c r="H61" i="2" s="1"/>
  <c r="I61" i="2" a="1"/>
  <c r="I61" i="2" s="1"/>
  <c r="J61" i="2" a="1"/>
  <c r="J61" i="2" s="1"/>
  <c r="K61" i="2" a="1"/>
  <c r="K61" i="2" s="1"/>
  <c r="L61" i="2" a="1"/>
  <c r="L61" i="2" s="1"/>
  <c r="M61" i="2" a="1"/>
  <c r="M61" i="2" s="1"/>
  <c r="N61" i="2" a="1"/>
  <c r="N61" i="2" s="1"/>
  <c r="O61" i="2" a="1"/>
  <c r="O61" i="2" s="1"/>
  <c r="P61" i="2" a="1"/>
  <c r="P61" i="2" s="1"/>
  <c r="Q61" i="2" a="1"/>
  <c r="Q61" i="2" s="1"/>
  <c r="R61" i="2" a="1"/>
  <c r="R61" i="2" s="1"/>
  <c r="S61" i="2" a="1"/>
  <c r="S61" i="2" s="1"/>
  <c r="T61" i="2" a="1"/>
  <c r="T61" i="2" s="1"/>
  <c r="U61" i="2" a="1"/>
  <c r="U61" i="2" s="1"/>
  <c r="V61" i="2" a="1"/>
  <c r="V61" i="2" s="1"/>
  <c r="W61" i="2" a="1"/>
  <c r="W61" i="2" s="1"/>
  <c r="X61" i="2" a="1"/>
  <c r="X61" i="2" s="1"/>
  <c r="Y61" i="2" a="1"/>
  <c r="Y61" i="2" s="1"/>
  <c r="Z61" i="2" a="1"/>
  <c r="Z61" i="2" s="1"/>
  <c r="AA61" i="2" a="1"/>
  <c r="AA61" i="2" s="1"/>
  <c r="AB61" i="2" a="1"/>
  <c r="AB61" i="2" s="1"/>
  <c r="AC61" i="2" a="1"/>
  <c r="AC61" i="2" s="1"/>
  <c r="C62" i="2" a="1"/>
  <c r="C62" i="2" s="1"/>
  <c r="D62" i="2" a="1"/>
  <c r="D62" i="2" s="1"/>
  <c r="E62" i="2" a="1"/>
  <c r="E62" i="2" s="1"/>
  <c r="F62" i="2" a="1"/>
  <c r="F62" i="2" s="1"/>
  <c r="G62" i="2" a="1"/>
  <c r="G62" i="2" s="1"/>
  <c r="H62" i="2" a="1"/>
  <c r="H62" i="2" s="1"/>
  <c r="I62" i="2" a="1"/>
  <c r="I62" i="2" s="1"/>
  <c r="J62" i="2" a="1"/>
  <c r="J62" i="2" s="1"/>
  <c r="K62" i="2" a="1"/>
  <c r="K62" i="2" s="1"/>
  <c r="L62" i="2" a="1"/>
  <c r="L62" i="2" s="1"/>
  <c r="M62" i="2" a="1"/>
  <c r="M62" i="2" s="1"/>
  <c r="N62" i="2" a="1"/>
  <c r="N62" i="2" s="1"/>
  <c r="O62" i="2" a="1"/>
  <c r="O62" i="2" s="1"/>
  <c r="P62" i="2" a="1"/>
  <c r="P62" i="2" s="1"/>
  <c r="Q62" i="2" a="1"/>
  <c r="Q62" i="2" s="1"/>
  <c r="R62" i="2" a="1"/>
  <c r="R62" i="2" s="1"/>
  <c r="S62" i="2" a="1"/>
  <c r="S62" i="2" s="1"/>
  <c r="T62" i="2" a="1"/>
  <c r="T62" i="2" s="1"/>
  <c r="U62" i="2" a="1"/>
  <c r="U62" i="2" s="1"/>
  <c r="V62" i="2" a="1"/>
  <c r="V62" i="2" s="1"/>
  <c r="W62" i="2" a="1"/>
  <c r="W62" i="2" s="1"/>
  <c r="X62" i="2" a="1"/>
  <c r="X62" i="2" s="1"/>
  <c r="Y62" i="2" a="1"/>
  <c r="Y62" i="2" s="1"/>
  <c r="Z62" i="2" a="1"/>
  <c r="Z62" i="2" s="1"/>
  <c r="AA62" i="2" a="1"/>
  <c r="AA62" i="2" s="1"/>
  <c r="AB62" i="2" a="1"/>
  <c r="AB62" i="2" s="1"/>
  <c r="AC62" i="2" a="1"/>
  <c r="AC62" i="2" s="1"/>
  <c r="C63" i="2" a="1"/>
  <c r="C63" i="2" s="1"/>
  <c r="D63" i="2" a="1"/>
  <c r="D63" i="2" s="1"/>
  <c r="E63" i="2" a="1"/>
  <c r="E63" i="2" s="1"/>
  <c r="F63" i="2" a="1"/>
  <c r="F63" i="2" s="1"/>
  <c r="G63" i="2" a="1"/>
  <c r="G63" i="2" s="1"/>
  <c r="H63" i="2" a="1"/>
  <c r="H63" i="2" s="1"/>
  <c r="I63" i="2" a="1"/>
  <c r="I63" i="2" s="1"/>
  <c r="J63" i="2" a="1"/>
  <c r="J63" i="2" s="1"/>
  <c r="K63" i="2" a="1"/>
  <c r="K63" i="2" s="1"/>
  <c r="L63" i="2" a="1"/>
  <c r="L63" i="2" s="1"/>
  <c r="M63" i="2" a="1"/>
  <c r="M63" i="2" s="1"/>
  <c r="N63" i="2" a="1"/>
  <c r="N63" i="2" s="1"/>
  <c r="O63" i="2" a="1"/>
  <c r="O63" i="2" s="1"/>
  <c r="P63" i="2" a="1"/>
  <c r="P63" i="2" s="1"/>
  <c r="Q63" i="2" a="1"/>
  <c r="Q63" i="2" s="1"/>
  <c r="R63" i="2" a="1"/>
  <c r="R63" i="2" s="1"/>
  <c r="S63" i="2" a="1"/>
  <c r="S63" i="2" s="1"/>
  <c r="T63" i="2" a="1"/>
  <c r="T63" i="2" s="1"/>
  <c r="U63" i="2" a="1"/>
  <c r="U63" i="2" s="1"/>
  <c r="V63" i="2" a="1"/>
  <c r="V63" i="2" s="1"/>
  <c r="W63" i="2" a="1"/>
  <c r="W63" i="2" s="1"/>
  <c r="X63" i="2" a="1"/>
  <c r="X63" i="2" s="1"/>
  <c r="Y63" i="2" a="1"/>
  <c r="Y63" i="2" s="1"/>
  <c r="Z63" i="2" a="1"/>
  <c r="Z63" i="2" s="1"/>
  <c r="AA63" i="2" a="1"/>
  <c r="AA63" i="2" s="1"/>
  <c r="AB63" i="2" a="1"/>
  <c r="AB63" i="2" s="1"/>
  <c r="AC63" i="2" a="1"/>
  <c r="AC63" i="2" s="1"/>
  <c r="C65" i="2" a="1"/>
  <c r="C65" i="2" s="1"/>
  <c r="D65" i="2" a="1"/>
  <c r="D65" i="2" s="1"/>
  <c r="E65" i="2" a="1"/>
  <c r="E65" i="2" s="1"/>
  <c r="F65" i="2" a="1"/>
  <c r="F65" i="2" s="1"/>
  <c r="G65" i="2" a="1"/>
  <c r="G65" i="2" s="1"/>
  <c r="H65" i="2" a="1"/>
  <c r="H65" i="2" s="1"/>
  <c r="I65" i="2" a="1"/>
  <c r="I65" i="2" s="1"/>
  <c r="J65" i="2" a="1"/>
  <c r="J65" i="2" s="1"/>
  <c r="K65" i="2" a="1"/>
  <c r="K65" i="2" s="1"/>
  <c r="L65" i="2" a="1"/>
  <c r="L65" i="2" s="1"/>
  <c r="M65" i="2" a="1"/>
  <c r="M65" i="2" s="1"/>
  <c r="N65" i="2" a="1"/>
  <c r="N65" i="2" s="1"/>
  <c r="O65" i="2" a="1"/>
  <c r="O65" i="2" s="1"/>
  <c r="P65" i="2" a="1"/>
  <c r="P65" i="2" s="1"/>
  <c r="Q65" i="2" a="1"/>
  <c r="Q65" i="2" s="1"/>
  <c r="R65" i="2" a="1"/>
  <c r="R65" i="2" s="1"/>
  <c r="S65" i="2" a="1"/>
  <c r="S65" i="2" s="1"/>
  <c r="T65" i="2" a="1"/>
  <c r="T65" i="2" s="1"/>
  <c r="U65" i="2" a="1"/>
  <c r="U65" i="2" s="1"/>
  <c r="V65" i="2" a="1"/>
  <c r="V65" i="2" s="1"/>
  <c r="W65" i="2" a="1"/>
  <c r="W65" i="2" s="1"/>
  <c r="X65" i="2" a="1"/>
  <c r="X65" i="2" s="1"/>
  <c r="Y65" i="2" a="1"/>
  <c r="Y65" i="2" s="1"/>
  <c r="Z65" i="2" a="1"/>
  <c r="Z65" i="2" s="1"/>
  <c r="AA65" i="2" a="1"/>
  <c r="AA65" i="2" s="1"/>
  <c r="AB65" i="2" a="1"/>
  <c r="AB65" i="2" s="1"/>
  <c r="AC65" i="2" a="1"/>
  <c r="AC65" i="2" s="1"/>
  <c r="C66" i="2" a="1"/>
  <c r="C66" i="2" s="1"/>
  <c r="D66" i="2" a="1"/>
  <c r="D66" i="2" s="1"/>
  <c r="E66" i="2" a="1"/>
  <c r="E66" i="2" s="1"/>
  <c r="F66" i="2" a="1"/>
  <c r="F66" i="2" s="1"/>
  <c r="G66" i="2" a="1"/>
  <c r="G66" i="2" s="1"/>
  <c r="H66" i="2" a="1"/>
  <c r="H66" i="2" s="1"/>
  <c r="I66" i="2" a="1"/>
  <c r="I66" i="2" s="1"/>
  <c r="J66" i="2" a="1"/>
  <c r="J66" i="2" s="1"/>
  <c r="K66" i="2" a="1"/>
  <c r="K66" i="2" s="1"/>
  <c r="L66" i="2" a="1"/>
  <c r="L66" i="2" s="1"/>
  <c r="M66" i="2" a="1"/>
  <c r="M66" i="2" s="1"/>
  <c r="N66" i="2" a="1"/>
  <c r="N66" i="2" s="1"/>
  <c r="O66" i="2" a="1"/>
  <c r="O66" i="2" s="1"/>
  <c r="P66" i="2" a="1"/>
  <c r="P66" i="2" s="1"/>
  <c r="Q66" i="2" a="1"/>
  <c r="Q66" i="2" s="1"/>
  <c r="R66" i="2" a="1"/>
  <c r="R66" i="2" s="1"/>
  <c r="S66" i="2" a="1"/>
  <c r="S66" i="2" s="1"/>
  <c r="T66" i="2" a="1"/>
  <c r="T66" i="2" s="1"/>
  <c r="U66" i="2" a="1"/>
  <c r="U66" i="2" s="1"/>
  <c r="V66" i="2" a="1"/>
  <c r="V66" i="2" s="1"/>
  <c r="W66" i="2" a="1"/>
  <c r="W66" i="2" s="1"/>
  <c r="X66" i="2" a="1"/>
  <c r="X66" i="2" s="1"/>
  <c r="Y66" i="2" a="1"/>
  <c r="Y66" i="2" s="1"/>
  <c r="Z66" i="2" a="1"/>
  <c r="Z66" i="2" s="1"/>
  <c r="AA66" i="2" a="1"/>
  <c r="AA66" i="2" s="1"/>
  <c r="AB66" i="2" a="1"/>
  <c r="AB66" i="2" s="1"/>
  <c r="AC66" i="2" a="1"/>
  <c r="AC66" i="2" s="1"/>
  <c r="C69" i="2" a="1"/>
  <c r="C69" i="2" s="1"/>
  <c r="D69" i="2" a="1"/>
  <c r="D69" i="2" s="1"/>
  <c r="E69" i="2" a="1"/>
  <c r="E69" i="2" s="1"/>
  <c r="F69" i="2" a="1"/>
  <c r="F69" i="2" s="1"/>
  <c r="G69" i="2" a="1"/>
  <c r="G69" i="2" s="1"/>
  <c r="H69" i="2" a="1"/>
  <c r="H69" i="2" s="1"/>
  <c r="I69" i="2" a="1"/>
  <c r="I69" i="2" s="1"/>
  <c r="J69" i="2" a="1"/>
  <c r="J69" i="2" s="1"/>
  <c r="K69" i="2" a="1"/>
  <c r="K69" i="2" s="1"/>
  <c r="L69" i="2" a="1"/>
  <c r="L69" i="2" s="1"/>
  <c r="M69" i="2" a="1"/>
  <c r="M69" i="2" s="1"/>
  <c r="N69" i="2" a="1"/>
  <c r="N69" i="2" s="1"/>
  <c r="O69" i="2" a="1"/>
  <c r="O69" i="2" s="1"/>
  <c r="P69" i="2" a="1"/>
  <c r="P69" i="2" s="1"/>
  <c r="Q69" i="2" a="1"/>
  <c r="Q69" i="2" s="1"/>
  <c r="R69" i="2" a="1"/>
  <c r="R69" i="2" s="1"/>
  <c r="S69" i="2" a="1"/>
  <c r="S69" i="2" s="1"/>
  <c r="T69" i="2" a="1"/>
  <c r="T69" i="2" s="1"/>
  <c r="U69" i="2" a="1"/>
  <c r="U69" i="2" s="1"/>
  <c r="V69" i="2" a="1"/>
  <c r="V69" i="2" s="1"/>
  <c r="W69" i="2" a="1"/>
  <c r="W69" i="2" s="1"/>
  <c r="X69" i="2" a="1"/>
  <c r="X69" i="2" s="1"/>
  <c r="Y69" i="2" a="1"/>
  <c r="Y69" i="2" s="1"/>
  <c r="Z69" i="2" a="1"/>
  <c r="Z69" i="2" s="1"/>
  <c r="AA69" i="2" a="1"/>
  <c r="AA69" i="2" s="1"/>
  <c r="AB69" i="2" a="1"/>
  <c r="AB69" i="2" s="1"/>
  <c r="AC69" i="2" a="1"/>
  <c r="AC69" i="2" s="1"/>
  <c r="C70" i="2" a="1"/>
  <c r="C70" i="2" s="1"/>
  <c r="D70" i="2" a="1"/>
  <c r="D70" i="2" s="1"/>
  <c r="E70" i="2" a="1"/>
  <c r="E70" i="2" s="1"/>
  <c r="F70" i="2" a="1"/>
  <c r="F70" i="2" s="1"/>
  <c r="G70" i="2" a="1"/>
  <c r="G70" i="2" s="1"/>
  <c r="H70" i="2" a="1"/>
  <c r="H70" i="2" s="1"/>
  <c r="I70" i="2" a="1"/>
  <c r="I70" i="2" s="1"/>
  <c r="J70" i="2" a="1"/>
  <c r="J70" i="2" s="1"/>
  <c r="K70" i="2" a="1"/>
  <c r="K70" i="2" s="1"/>
  <c r="L70" i="2" a="1"/>
  <c r="L70" i="2" s="1"/>
  <c r="M70" i="2" a="1"/>
  <c r="M70" i="2" s="1"/>
  <c r="N70" i="2" a="1"/>
  <c r="N70" i="2" s="1"/>
  <c r="O70" i="2" a="1"/>
  <c r="O70" i="2" s="1"/>
  <c r="P70" i="2" a="1"/>
  <c r="P70" i="2" s="1"/>
  <c r="Q70" i="2" a="1"/>
  <c r="Q70" i="2" s="1"/>
  <c r="R70" i="2" a="1"/>
  <c r="R70" i="2" s="1"/>
  <c r="S70" i="2" a="1"/>
  <c r="S70" i="2" s="1"/>
  <c r="T70" i="2" a="1"/>
  <c r="T70" i="2" s="1"/>
  <c r="U70" i="2" a="1"/>
  <c r="U70" i="2" s="1"/>
  <c r="V70" i="2" a="1"/>
  <c r="V70" i="2" s="1"/>
  <c r="W70" i="2" a="1"/>
  <c r="W70" i="2" s="1"/>
  <c r="X70" i="2" a="1"/>
  <c r="X70" i="2" s="1"/>
  <c r="Y70" i="2" a="1"/>
  <c r="Y70" i="2" s="1"/>
  <c r="Z70" i="2" a="1"/>
  <c r="Z70" i="2" s="1"/>
  <c r="AA70" i="2" a="1"/>
  <c r="AA70" i="2" s="1"/>
  <c r="AB70" i="2" a="1"/>
  <c r="AB70" i="2" s="1"/>
  <c r="AC70" i="2" a="1"/>
  <c r="AC70" i="2" s="1"/>
  <c r="C71" i="2" a="1"/>
  <c r="C71" i="2" s="1"/>
  <c r="D71" i="2" a="1"/>
  <c r="D71" i="2" s="1"/>
  <c r="E71" i="2" a="1"/>
  <c r="E71" i="2" s="1"/>
  <c r="F71" i="2" a="1"/>
  <c r="F71" i="2" s="1"/>
  <c r="G71" i="2" a="1"/>
  <c r="G71" i="2" s="1"/>
  <c r="H71" i="2" a="1"/>
  <c r="H71" i="2" s="1"/>
  <c r="I71" i="2" a="1"/>
  <c r="I71" i="2" s="1"/>
  <c r="J71" i="2" a="1"/>
  <c r="J71" i="2" s="1"/>
  <c r="K71" i="2" a="1"/>
  <c r="K71" i="2" s="1"/>
  <c r="L71" i="2" a="1"/>
  <c r="L71" i="2" s="1"/>
  <c r="M71" i="2" a="1"/>
  <c r="M71" i="2" s="1"/>
  <c r="N71" i="2" a="1"/>
  <c r="N71" i="2" s="1"/>
  <c r="O71" i="2" a="1"/>
  <c r="O71" i="2" s="1"/>
  <c r="P71" i="2" a="1"/>
  <c r="P71" i="2" s="1"/>
  <c r="Q71" i="2" a="1"/>
  <c r="Q71" i="2" s="1"/>
  <c r="R71" i="2" a="1"/>
  <c r="R71" i="2" s="1"/>
  <c r="S71" i="2" a="1"/>
  <c r="S71" i="2" s="1"/>
  <c r="T71" i="2" a="1"/>
  <c r="T71" i="2" s="1"/>
  <c r="U71" i="2" a="1"/>
  <c r="U71" i="2" s="1"/>
  <c r="V71" i="2" a="1"/>
  <c r="V71" i="2" s="1"/>
  <c r="W71" i="2" a="1"/>
  <c r="W71" i="2" s="1"/>
  <c r="X71" i="2" a="1"/>
  <c r="X71" i="2" s="1"/>
  <c r="Y71" i="2" a="1"/>
  <c r="Y71" i="2" s="1"/>
  <c r="Z71" i="2" a="1"/>
  <c r="Z71" i="2" s="1"/>
  <c r="AA71" i="2" a="1"/>
  <c r="AA71" i="2" s="1"/>
  <c r="AB71" i="2" a="1"/>
  <c r="AB71" i="2" s="1"/>
  <c r="AC71" i="2" a="1"/>
  <c r="AC71" i="2" s="1"/>
  <c r="C72" i="2" a="1"/>
  <c r="C72" i="2" s="1"/>
  <c r="D72" i="2" a="1"/>
  <c r="D72" i="2" s="1"/>
  <c r="E72" i="2" a="1"/>
  <c r="E72" i="2" s="1"/>
  <c r="F72" i="2" a="1"/>
  <c r="F72" i="2" s="1"/>
  <c r="G72" i="2" a="1"/>
  <c r="G72" i="2" s="1"/>
  <c r="H72" i="2" a="1"/>
  <c r="H72" i="2" s="1"/>
  <c r="I72" i="2" a="1"/>
  <c r="I72" i="2" s="1"/>
  <c r="J72" i="2" a="1"/>
  <c r="J72" i="2" s="1"/>
  <c r="K72" i="2" a="1"/>
  <c r="K72" i="2" s="1"/>
  <c r="L72" i="2" a="1"/>
  <c r="L72" i="2" s="1"/>
  <c r="M72" i="2" a="1"/>
  <c r="M72" i="2" s="1"/>
  <c r="N72" i="2" a="1"/>
  <c r="N72" i="2" s="1"/>
  <c r="O72" i="2" a="1"/>
  <c r="O72" i="2" s="1"/>
  <c r="P72" i="2" a="1"/>
  <c r="P72" i="2" s="1"/>
  <c r="Q72" i="2" a="1"/>
  <c r="Q72" i="2" s="1"/>
  <c r="R72" i="2" a="1"/>
  <c r="R72" i="2" s="1"/>
  <c r="S72" i="2" a="1"/>
  <c r="S72" i="2" s="1"/>
  <c r="T72" i="2" a="1"/>
  <c r="T72" i="2" s="1"/>
  <c r="U72" i="2" a="1"/>
  <c r="U72" i="2" s="1"/>
  <c r="V72" i="2" a="1"/>
  <c r="V72" i="2" s="1"/>
  <c r="W72" i="2" a="1"/>
  <c r="W72" i="2" s="1"/>
  <c r="X72" i="2" a="1"/>
  <c r="X72" i="2" s="1"/>
  <c r="Y72" i="2" a="1"/>
  <c r="Y72" i="2" s="1"/>
  <c r="Z72" i="2" a="1"/>
  <c r="Z72" i="2" s="1"/>
  <c r="AA72" i="2" a="1"/>
  <c r="AA72" i="2" s="1"/>
  <c r="AB72" i="2" a="1"/>
  <c r="AB72" i="2" s="1"/>
  <c r="AC72" i="2" a="1"/>
  <c r="AC72" i="2" s="1"/>
  <c r="C74" i="2" a="1"/>
  <c r="C74" i="2" s="1"/>
  <c r="D74" i="2" a="1"/>
  <c r="D74" i="2" s="1"/>
  <c r="E74" i="2" a="1"/>
  <c r="E74" i="2" s="1"/>
  <c r="F74" i="2" a="1"/>
  <c r="F74" i="2" s="1"/>
  <c r="G74" i="2" a="1"/>
  <c r="G74" i="2" s="1"/>
  <c r="H74" i="2" a="1"/>
  <c r="H74" i="2" s="1"/>
  <c r="I74" i="2" a="1"/>
  <c r="I74" i="2" s="1"/>
  <c r="J74" i="2" a="1"/>
  <c r="J74" i="2" s="1"/>
  <c r="K74" i="2" a="1"/>
  <c r="K74" i="2" s="1"/>
  <c r="L74" i="2" a="1"/>
  <c r="L74" i="2" s="1"/>
  <c r="M74" i="2" a="1"/>
  <c r="M74" i="2" s="1"/>
  <c r="N74" i="2" a="1"/>
  <c r="N74" i="2" s="1"/>
  <c r="O74" i="2" a="1"/>
  <c r="O74" i="2" s="1"/>
  <c r="P74" i="2" a="1"/>
  <c r="P74" i="2" s="1"/>
  <c r="Q74" i="2" a="1"/>
  <c r="Q74" i="2" s="1"/>
  <c r="R74" i="2" a="1"/>
  <c r="R74" i="2" s="1"/>
  <c r="S74" i="2" a="1"/>
  <c r="S74" i="2" s="1"/>
  <c r="T74" i="2" a="1"/>
  <c r="T74" i="2" s="1"/>
  <c r="U74" i="2" a="1"/>
  <c r="U74" i="2" s="1"/>
  <c r="V74" i="2" a="1"/>
  <c r="V74" i="2" s="1"/>
  <c r="W74" i="2" a="1"/>
  <c r="W74" i="2" s="1"/>
  <c r="X74" i="2" a="1"/>
  <c r="X74" i="2" s="1"/>
  <c r="Y74" i="2" a="1"/>
  <c r="Y74" i="2" s="1"/>
  <c r="Z74" i="2" a="1"/>
  <c r="Z74" i="2" s="1"/>
  <c r="AA74" i="2" a="1"/>
  <c r="AA74" i="2" s="1"/>
  <c r="AB74" i="2" a="1"/>
  <c r="AB74" i="2" s="1"/>
  <c r="AC74" i="2" a="1"/>
  <c r="AC74" i="2" s="1"/>
  <c r="C75" i="2" a="1"/>
  <c r="C75" i="2" s="1"/>
  <c r="D75" i="2" a="1"/>
  <c r="D75" i="2" s="1"/>
  <c r="E75" i="2" a="1"/>
  <c r="E75" i="2" s="1"/>
  <c r="F75" i="2" a="1"/>
  <c r="F75" i="2" s="1"/>
  <c r="G75" i="2" a="1"/>
  <c r="G75" i="2" s="1"/>
  <c r="H75" i="2" a="1"/>
  <c r="H75" i="2" s="1"/>
  <c r="I75" i="2" a="1"/>
  <c r="I75" i="2" s="1"/>
  <c r="J75" i="2" a="1"/>
  <c r="J75" i="2" s="1"/>
  <c r="K75" i="2" a="1"/>
  <c r="K75" i="2" s="1"/>
  <c r="L75" i="2" a="1"/>
  <c r="L75" i="2" s="1"/>
  <c r="M75" i="2" a="1"/>
  <c r="M75" i="2" s="1"/>
  <c r="N75" i="2" a="1"/>
  <c r="N75" i="2" s="1"/>
  <c r="O75" i="2" a="1"/>
  <c r="O75" i="2" s="1"/>
  <c r="P75" i="2" a="1"/>
  <c r="P75" i="2" s="1"/>
  <c r="Q75" i="2" a="1"/>
  <c r="Q75" i="2" s="1"/>
  <c r="R75" i="2" a="1"/>
  <c r="R75" i="2" s="1"/>
  <c r="S75" i="2" a="1"/>
  <c r="S75" i="2" s="1"/>
  <c r="T75" i="2" a="1"/>
  <c r="T75" i="2" s="1"/>
  <c r="U75" i="2" a="1"/>
  <c r="U75" i="2" s="1"/>
  <c r="V75" i="2" a="1"/>
  <c r="V75" i="2" s="1"/>
  <c r="W75" i="2" a="1"/>
  <c r="W75" i="2" s="1"/>
  <c r="X75" i="2" a="1"/>
  <c r="X75" i="2" s="1"/>
  <c r="Y75" i="2" a="1"/>
  <c r="Y75" i="2" s="1"/>
  <c r="Z75" i="2" a="1"/>
  <c r="Z75" i="2" s="1"/>
  <c r="AA75" i="2" a="1"/>
  <c r="AA75" i="2" s="1"/>
  <c r="AB75" i="2" a="1"/>
  <c r="AB75" i="2" s="1"/>
  <c r="AC75" i="2" a="1"/>
  <c r="AC75" i="2" s="1"/>
  <c r="C76" i="2" a="1"/>
  <c r="C76" i="2" s="1"/>
  <c r="D76" i="2" a="1"/>
  <c r="D76" i="2" s="1"/>
  <c r="E76" i="2" a="1"/>
  <c r="E76" i="2" s="1"/>
  <c r="F76" i="2" a="1"/>
  <c r="F76" i="2" s="1"/>
  <c r="G76" i="2" a="1"/>
  <c r="G76" i="2" s="1"/>
  <c r="H76" i="2" a="1"/>
  <c r="H76" i="2" s="1"/>
  <c r="I76" i="2" a="1"/>
  <c r="I76" i="2" s="1"/>
  <c r="J76" i="2" a="1"/>
  <c r="J76" i="2" s="1"/>
  <c r="K76" i="2" a="1"/>
  <c r="K76" i="2" s="1"/>
  <c r="L76" i="2" a="1"/>
  <c r="L76" i="2" s="1"/>
  <c r="M76" i="2" a="1"/>
  <c r="M76" i="2" s="1"/>
  <c r="N76" i="2" a="1"/>
  <c r="N76" i="2" s="1"/>
  <c r="O76" i="2" a="1"/>
  <c r="O76" i="2" s="1"/>
  <c r="P76" i="2" a="1"/>
  <c r="P76" i="2" s="1"/>
  <c r="Q76" i="2" a="1"/>
  <c r="Q76" i="2" s="1"/>
  <c r="R76" i="2" a="1"/>
  <c r="R76" i="2" s="1"/>
  <c r="S76" i="2" a="1"/>
  <c r="S76" i="2" s="1"/>
  <c r="T76" i="2" a="1"/>
  <c r="T76" i="2" s="1"/>
  <c r="U76" i="2" a="1"/>
  <c r="U76" i="2" s="1"/>
  <c r="V76" i="2" a="1"/>
  <c r="V76" i="2" s="1"/>
  <c r="W76" i="2" a="1"/>
  <c r="W76" i="2" s="1"/>
  <c r="X76" i="2" a="1"/>
  <c r="X76" i="2" s="1"/>
  <c r="Y76" i="2" a="1"/>
  <c r="Y76" i="2" s="1"/>
  <c r="Z76" i="2" a="1"/>
  <c r="Z76" i="2" s="1"/>
  <c r="AA76" i="2" a="1"/>
  <c r="AA76" i="2" s="1"/>
  <c r="AB76" i="2" a="1"/>
  <c r="AB76" i="2" s="1"/>
  <c r="AC76" i="2" a="1"/>
  <c r="AC76" i="2" s="1"/>
  <c r="C77" i="2" a="1"/>
  <c r="C77" i="2" s="1"/>
  <c r="D77" i="2" a="1"/>
  <c r="D77" i="2" s="1"/>
  <c r="E77" i="2" a="1"/>
  <c r="E77" i="2" s="1"/>
  <c r="F77" i="2" a="1"/>
  <c r="F77" i="2" s="1"/>
  <c r="G77" i="2" a="1"/>
  <c r="G77" i="2" s="1"/>
  <c r="H77" i="2" a="1"/>
  <c r="H77" i="2" s="1"/>
  <c r="I77" i="2" a="1"/>
  <c r="I77" i="2" s="1"/>
  <c r="J77" i="2" a="1"/>
  <c r="J77" i="2" s="1"/>
  <c r="K77" i="2" a="1"/>
  <c r="K77" i="2" s="1"/>
  <c r="L77" i="2" a="1"/>
  <c r="L77" i="2" s="1"/>
  <c r="M77" i="2" a="1"/>
  <c r="M77" i="2" s="1"/>
  <c r="N77" i="2" a="1"/>
  <c r="N77" i="2" s="1"/>
  <c r="O77" i="2" a="1"/>
  <c r="O77" i="2" s="1"/>
  <c r="P77" i="2" a="1"/>
  <c r="P77" i="2" s="1"/>
  <c r="Q77" i="2" a="1"/>
  <c r="Q77" i="2" s="1"/>
  <c r="R77" i="2" a="1"/>
  <c r="R77" i="2" s="1"/>
  <c r="S77" i="2" a="1"/>
  <c r="S77" i="2" s="1"/>
  <c r="T77" i="2" a="1"/>
  <c r="T77" i="2" s="1"/>
  <c r="U77" i="2" a="1"/>
  <c r="U77" i="2" s="1"/>
  <c r="V77" i="2" a="1"/>
  <c r="V77" i="2" s="1"/>
  <c r="W77" i="2" a="1"/>
  <c r="W77" i="2" s="1"/>
  <c r="X77" i="2" a="1"/>
  <c r="X77" i="2" s="1"/>
  <c r="Y77" i="2" a="1"/>
  <c r="Y77" i="2" s="1"/>
  <c r="Z77" i="2" a="1"/>
  <c r="Z77" i="2" s="1"/>
  <c r="AA77" i="2" a="1"/>
  <c r="AA77" i="2" s="1"/>
  <c r="AB77" i="2" a="1"/>
  <c r="AB77" i="2" s="1"/>
  <c r="AC77" i="2" a="1"/>
  <c r="AC77" i="2" s="1"/>
  <c r="C78" i="2" a="1"/>
  <c r="C78" i="2" s="1"/>
  <c r="D78" i="2" a="1"/>
  <c r="D78" i="2" s="1"/>
  <c r="E78" i="2" a="1"/>
  <c r="E78" i="2" s="1"/>
  <c r="F78" i="2" a="1"/>
  <c r="F78" i="2" s="1"/>
  <c r="G78" i="2" a="1"/>
  <c r="G78" i="2" s="1"/>
  <c r="H78" i="2" a="1"/>
  <c r="H78" i="2" s="1"/>
  <c r="I78" i="2" a="1"/>
  <c r="I78" i="2" s="1"/>
  <c r="J78" i="2" a="1"/>
  <c r="J78" i="2" s="1"/>
  <c r="K78" i="2" a="1"/>
  <c r="K78" i="2" s="1"/>
  <c r="L78" i="2" a="1"/>
  <c r="L78" i="2" s="1"/>
  <c r="M78" i="2" a="1"/>
  <c r="M78" i="2" s="1"/>
  <c r="N78" i="2" a="1"/>
  <c r="N78" i="2" s="1"/>
  <c r="O78" i="2" a="1"/>
  <c r="O78" i="2" s="1"/>
  <c r="P78" i="2" a="1"/>
  <c r="P78" i="2" s="1"/>
  <c r="Q78" i="2" a="1"/>
  <c r="Q78" i="2" s="1"/>
  <c r="R78" i="2" a="1"/>
  <c r="R78" i="2" s="1"/>
  <c r="S78" i="2" a="1"/>
  <c r="S78" i="2" s="1"/>
  <c r="T78" i="2" a="1"/>
  <c r="T78" i="2" s="1"/>
  <c r="U78" i="2" a="1"/>
  <c r="U78" i="2" s="1"/>
  <c r="V78" i="2" a="1"/>
  <c r="V78" i="2" s="1"/>
  <c r="W78" i="2" a="1"/>
  <c r="W78" i="2" s="1"/>
  <c r="X78" i="2" a="1"/>
  <c r="X78" i="2" s="1"/>
  <c r="Y78" i="2" a="1"/>
  <c r="Y78" i="2" s="1"/>
  <c r="Z78" i="2" a="1"/>
  <c r="Z78" i="2" s="1"/>
  <c r="AA78" i="2" a="1"/>
  <c r="AA78" i="2" s="1"/>
  <c r="AB78" i="2" a="1"/>
  <c r="AB78" i="2" s="1"/>
  <c r="AC78" i="2" a="1"/>
  <c r="AC78" i="2" s="1"/>
  <c r="C79" i="2" a="1"/>
  <c r="C79" i="2" s="1"/>
  <c r="D79" i="2" a="1"/>
  <c r="D79" i="2" s="1"/>
  <c r="E79" i="2" a="1"/>
  <c r="E79" i="2" s="1"/>
  <c r="F79" i="2" a="1"/>
  <c r="F79" i="2" s="1"/>
  <c r="G79" i="2" a="1"/>
  <c r="G79" i="2" s="1"/>
  <c r="H79" i="2" a="1"/>
  <c r="H79" i="2" s="1"/>
  <c r="I79" i="2" a="1"/>
  <c r="I79" i="2" s="1"/>
  <c r="J79" i="2" a="1"/>
  <c r="J79" i="2" s="1"/>
  <c r="K79" i="2" a="1"/>
  <c r="K79" i="2" s="1"/>
  <c r="L79" i="2" a="1"/>
  <c r="L79" i="2" s="1"/>
  <c r="M79" i="2" a="1"/>
  <c r="M79" i="2" s="1"/>
  <c r="N79" i="2" a="1"/>
  <c r="N79" i="2" s="1"/>
  <c r="O79" i="2" a="1"/>
  <c r="O79" i="2" s="1"/>
  <c r="P79" i="2" a="1"/>
  <c r="P79" i="2" s="1"/>
  <c r="Q79" i="2" a="1"/>
  <c r="Q79" i="2" s="1"/>
  <c r="R79" i="2" a="1"/>
  <c r="R79" i="2" s="1"/>
  <c r="S79" i="2" a="1"/>
  <c r="S79" i="2" s="1"/>
  <c r="T79" i="2" a="1"/>
  <c r="T79" i="2" s="1"/>
  <c r="U79" i="2" a="1"/>
  <c r="U79" i="2" s="1"/>
  <c r="V79" i="2" a="1"/>
  <c r="V79" i="2" s="1"/>
  <c r="W79" i="2" a="1"/>
  <c r="W79" i="2" s="1"/>
  <c r="X79" i="2" a="1"/>
  <c r="X79" i="2" s="1"/>
  <c r="Y79" i="2" a="1"/>
  <c r="Y79" i="2" s="1"/>
  <c r="Z79" i="2" a="1"/>
  <c r="Z79" i="2" s="1"/>
  <c r="AA79" i="2" a="1"/>
  <c r="AA79" i="2" s="1"/>
  <c r="AB79" i="2" a="1"/>
  <c r="AB79" i="2" s="1"/>
  <c r="AC79" i="2" a="1"/>
  <c r="AC79" i="2" s="1"/>
  <c r="C80" i="2" a="1"/>
  <c r="C80" i="2" s="1"/>
  <c r="D80" i="2" a="1"/>
  <c r="D80" i="2" s="1"/>
  <c r="E80" i="2" a="1"/>
  <c r="E80" i="2" s="1"/>
  <c r="F80" i="2" a="1"/>
  <c r="F80" i="2" s="1"/>
  <c r="G80" i="2" a="1"/>
  <c r="G80" i="2" s="1"/>
  <c r="H80" i="2" a="1"/>
  <c r="H80" i="2" s="1"/>
  <c r="I80" i="2" a="1"/>
  <c r="I80" i="2" s="1"/>
  <c r="J80" i="2" a="1"/>
  <c r="J80" i="2" s="1"/>
  <c r="K80" i="2" a="1"/>
  <c r="K80" i="2" s="1"/>
  <c r="L80" i="2" a="1"/>
  <c r="L80" i="2" s="1"/>
  <c r="M80" i="2" a="1"/>
  <c r="M80" i="2" s="1"/>
  <c r="N80" i="2" a="1"/>
  <c r="N80" i="2" s="1"/>
  <c r="O80" i="2" a="1"/>
  <c r="O80" i="2" s="1"/>
  <c r="P80" i="2" a="1"/>
  <c r="P80" i="2" s="1"/>
  <c r="Q80" i="2" a="1"/>
  <c r="Q80" i="2" s="1"/>
  <c r="R80" i="2" a="1"/>
  <c r="R80" i="2" s="1"/>
  <c r="S80" i="2" a="1"/>
  <c r="S80" i="2" s="1"/>
  <c r="T80" i="2" a="1"/>
  <c r="T80" i="2" s="1"/>
  <c r="U80" i="2" a="1"/>
  <c r="U80" i="2" s="1"/>
  <c r="V80" i="2" a="1"/>
  <c r="V80" i="2" s="1"/>
  <c r="W80" i="2" a="1"/>
  <c r="W80" i="2" s="1"/>
  <c r="X80" i="2" a="1"/>
  <c r="X80" i="2" s="1"/>
  <c r="Y80" i="2" a="1"/>
  <c r="Y80" i="2" s="1"/>
  <c r="Z80" i="2" a="1"/>
  <c r="Z80" i="2" s="1"/>
  <c r="AA80" i="2" a="1"/>
  <c r="AA80" i="2" s="1"/>
  <c r="AB80" i="2" a="1"/>
  <c r="AB80" i="2" s="1"/>
  <c r="AC80" i="2" a="1"/>
  <c r="AC80" i="2" s="1"/>
  <c r="C81" i="2" a="1"/>
  <c r="C81" i="2" s="1"/>
  <c r="D81" i="2" a="1"/>
  <c r="D81" i="2" s="1"/>
  <c r="E81" i="2" a="1"/>
  <c r="E81" i="2" s="1"/>
  <c r="F81" i="2" a="1"/>
  <c r="F81" i="2" s="1"/>
  <c r="G81" i="2" a="1"/>
  <c r="G81" i="2" s="1"/>
  <c r="H81" i="2" a="1"/>
  <c r="H81" i="2" s="1"/>
  <c r="I81" i="2" a="1"/>
  <c r="I81" i="2" s="1"/>
  <c r="J81" i="2" a="1"/>
  <c r="J81" i="2" s="1"/>
  <c r="K81" i="2" a="1"/>
  <c r="K81" i="2" s="1"/>
  <c r="L81" i="2" a="1"/>
  <c r="L81" i="2" s="1"/>
  <c r="M81" i="2" a="1"/>
  <c r="M81" i="2" s="1"/>
  <c r="N81" i="2" a="1"/>
  <c r="N81" i="2" s="1"/>
  <c r="O81" i="2" a="1"/>
  <c r="O81" i="2" s="1"/>
  <c r="P81" i="2" a="1"/>
  <c r="P81" i="2" s="1"/>
  <c r="Q81" i="2" a="1"/>
  <c r="Q81" i="2" s="1"/>
  <c r="R81" i="2" a="1"/>
  <c r="R81" i="2" s="1"/>
  <c r="S81" i="2" a="1"/>
  <c r="S81" i="2" s="1"/>
  <c r="T81" i="2" a="1"/>
  <c r="T81" i="2" s="1"/>
  <c r="U81" i="2" a="1"/>
  <c r="U81" i="2" s="1"/>
  <c r="V81" i="2" a="1"/>
  <c r="V81" i="2" s="1"/>
  <c r="W81" i="2" a="1"/>
  <c r="W81" i="2" s="1"/>
  <c r="X81" i="2" a="1"/>
  <c r="X81" i="2" s="1"/>
  <c r="Y81" i="2" a="1"/>
  <c r="Y81" i="2" s="1"/>
  <c r="Z81" i="2" a="1"/>
  <c r="Z81" i="2" s="1"/>
  <c r="AA81" i="2" a="1"/>
  <c r="AA81" i="2" s="1"/>
  <c r="AB81" i="2" a="1"/>
  <c r="AB81" i="2" s="1"/>
  <c r="AC81" i="2" a="1"/>
  <c r="AC81" i="2" s="1"/>
  <c r="C82" i="2" a="1"/>
  <c r="C82" i="2" s="1"/>
  <c r="D82" i="2" a="1"/>
  <c r="D82" i="2" s="1"/>
  <c r="E82" i="2" a="1"/>
  <c r="E82" i="2" s="1"/>
  <c r="F82" i="2" a="1"/>
  <c r="F82" i="2" s="1"/>
  <c r="G82" i="2" a="1"/>
  <c r="G82" i="2" s="1"/>
  <c r="H82" i="2" a="1"/>
  <c r="H82" i="2" s="1"/>
  <c r="I82" i="2" a="1"/>
  <c r="I82" i="2" s="1"/>
  <c r="J82" i="2" a="1"/>
  <c r="J82" i="2" s="1"/>
  <c r="K82" i="2" a="1"/>
  <c r="K82" i="2" s="1"/>
  <c r="L82" i="2" a="1"/>
  <c r="L82" i="2" s="1"/>
  <c r="M82" i="2" a="1"/>
  <c r="M82" i="2" s="1"/>
  <c r="N82" i="2" a="1"/>
  <c r="N82" i="2" s="1"/>
  <c r="O82" i="2" a="1"/>
  <c r="O82" i="2" s="1"/>
  <c r="P82" i="2" a="1"/>
  <c r="P82" i="2" s="1"/>
  <c r="Q82" i="2" a="1"/>
  <c r="Q82" i="2" s="1"/>
  <c r="R82" i="2" a="1"/>
  <c r="R82" i="2" s="1"/>
  <c r="S82" i="2" a="1"/>
  <c r="S82" i="2" s="1"/>
  <c r="T82" i="2" a="1"/>
  <c r="T82" i="2" s="1"/>
  <c r="U82" i="2" a="1"/>
  <c r="U82" i="2" s="1"/>
  <c r="V82" i="2" a="1"/>
  <c r="V82" i="2" s="1"/>
  <c r="W82" i="2" a="1"/>
  <c r="W82" i="2" s="1"/>
  <c r="X82" i="2" a="1"/>
  <c r="X82" i="2" s="1"/>
  <c r="Y82" i="2" a="1"/>
  <c r="Y82" i="2" s="1"/>
  <c r="Z82" i="2" a="1"/>
  <c r="Z82" i="2" s="1"/>
  <c r="AA82" i="2" a="1"/>
  <c r="AA82" i="2" s="1"/>
  <c r="AB82" i="2" a="1"/>
  <c r="AB82" i="2" s="1"/>
  <c r="AC82" i="2" a="1"/>
  <c r="AC82" i="2" s="1"/>
  <c r="C83" i="2" a="1"/>
  <c r="C83" i="2" s="1"/>
  <c r="D83" i="2" a="1"/>
  <c r="D83" i="2" s="1"/>
  <c r="E83" i="2" a="1"/>
  <c r="E83" i="2" s="1"/>
  <c r="F83" i="2" a="1"/>
  <c r="F83" i="2" s="1"/>
  <c r="G83" i="2" a="1"/>
  <c r="G83" i="2" s="1"/>
  <c r="H83" i="2" a="1"/>
  <c r="H83" i="2" s="1"/>
  <c r="I83" i="2" a="1"/>
  <c r="I83" i="2" s="1"/>
  <c r="J83" i="2" a="1"/>
  <c r="J83" i="2" s="1"/>
  <c r="K83" i="2" a="1"/>
  <c r="K83" i="2" s="1"/>
  <c r="L83" i="2" a="1"/>
  <c r="L83" i="2" s="1"/>
  <c r="M83" i="2" a="1"/>
  <c r="M83" i="2" s="1"/>
  <c r="N83" i="2" a="1"/>
  <c r="N83" i="2" s="1"/>
  <c r="O83" i="2" a="1"/>
  <c r="O83" i="2" s="1"/>
  <c r="P83" i="2" a="1"/>
  <c r="P83" i="2" s="1"/>
  <c r="Q83" i="2" a="1"/>
  <c r="Q83" i="2" s="1"/>
  <c r="R83" i="2" a="1"/>
  <c r="R83" i="2" s="1"/>
  <c r="S83" i="2" a="1"/>
  <c r="S83" i="2" s="1"/>
  <c r="T83" i="2" a="1"/>
  <c r="T83" i="2" s="1"/>
  <c r="U83" i="2" a="1"/>
  <c r="U83" i="2" s="1"/>
  <c r="V83" i="2" a="1"/>
  <c r="V83" i="2" s="1"/>
  <c r="W83" i="2" a="1"/>
  <c r="W83" i="2" s="1"/>
  <c r="X83" i="2" a="1"/>
  <c r="X83" i="2" s="1"/>
  <c r="Y83" i="2" a="1"/>
  <c r="Y83" i="2" s="1"/>
  <c r="Z83" i="2" a="1"/>
  <c r="Z83" i="2" s="1"/>
  <c r="AA83" i="2" a="1"/>
  <c r="AA83" i="2" s="1"/>
  <c r="AB83" i="2" a="1"/>
  <c r="AB83" i="2" s="1"/>
  <c r="AC83" i="2" a="1"/>
  <c r="AC83" i="2" s="1"/>
  <c r="C85" i="2" a="1"/>
  <c r="C85" i="2" s="1"/>
  <c r="D85" i="2" a="1"/>
  <c r="D85" i="2" s="1"/>
  <c r="E85" i="2" a="1"/>
  <c r="E85" i="2" s="1"/>
  <c r="F85" i="2" a="1"/>
  <c r="F85" i="2" s="1"/>
  <c r="G85" i="2" a="1"/>
  <c r="G85" i="2" s="1"/>
  <c r="H85" i="2" a="1"/>
  <c r="H85" i="2" s="1"/>
  <c r="I85" i="2" a="1"/>
  <c r="I85" i="2" s="1"/>
  <c r="J85" i="2" a="1"/>
  <c r="J85" i="2" s="1"/>
  <c r="K85" i="2" a="1"/>
  <c r="K85" i="2" s="1"/>
  <c r="L85" i="2" a="1"/>
  <c r="L85" i="2" s="1"/>
  <c r="M85" i="2" a="1"/>
  <c r="M85" i="2" s="1"/>
  <c r="N85" i="2" a="1"/>
  <c r="N85" i="2" s="1"/>
  <c r="O85" i="2" a="1"/>
  <c r="O85" i="2" s="1"/>
  <c r="P85" i="2" a="1"/>
  <c r="P85" i="2" s="1"/>
  <c r="Q85" i="2" a="1"/>
  <c r="Q85" i="2" s="1"/>
  <c r="R85" i="2" a="1"/>
  <c r="R85" i="2" s="1"/>
  <c r="S85" i="2" a="1"/>
  <c r="S85" i="2" s="1"/>
  <c r="T85" i="2" a="1"/>
  <c r="T85" i="2" s="1"/>
  <c r="U85" i="2" a="1"/>
  <c r="U85" i="2" s="1"/>
  <c r="V85" i="2" a="1"/>
  <c r="V85" i="2" s="1"/>
  <c r="W85" i="2" a="1"/>
  <c r="W85" i="2" s="1"/>
  <c r="X85" i="2" a="1"/>
  <c r="X85" i="2" s="1"/>
  <c r="Y85" i="2" a="1"/>
  <c r="Y85" i="2" s="1"/>
  <c r="Z85" i="2" a="1"/>
  <c r="Z85" i="2" s="1"/>
  <c r="AA85" i="2" a="1"/>
  <c r="AA85" i="2" s="1"/>
  <c r="AB85" i="2" a="1"/>
  <c r="AB85" i="2" s="1"/>
  <c r="AC85" i="2" a="1"/>
  <c r="AC85" i="2" s="1"/>
  <c r="C86" i="2" a="1"/>
  <c r="C86" i="2" s="1"/>
  <c r="D86" i="2" a="1"/>
  <c r="D86" i="2" s="1"/>
  <c r="E86" i="2" a="1"/>
  <c r="E86" i="2" s="1"/>
  <c r="F86" i="2" a="1"/>
  <c r="F86" i="2" s="1"/>
  <c r="G86" i="2" a="1"/>
  <c r="G86" i="2" s="1"/>
  <c r="H86" i="2" a="1"/>
  <c r="H86" i="2" s="1"/>
  <c r="I86" i="2" a="1"/>
  <c r="I86" i="2" s="1"/>
  <c r="J86" i="2" a="1"/>
  <c r="J86" i="2" s="1"/>
  <c r="K86" i="2" a="1"/>
  <c r="K86" i="2" s="1"/>
  <c r="L86" i="2" a="1"/>
  <c r="L86" i="2" s="1"/>
  <c r="M86" i="2" a="1"/>
  <c r="M86" i="2" s="1"/>
  <c r="N86" i="2" a="1"/>
  <c r="N86" i="2" s="1"/>
  <c r="O86" i="2" a="1"/>
  <c r="O86" i="2" s="1"/>
  <c r="P86" i="2" a="1"/>
  <c r="P86" i="2" s="1"/>
  <c r="Q86" i="2" a="1"/>
  <c r="Q86" i="2" s="1"/>
  <c r="R86" i="2" a="1"/>
  <c r="R86" i="2" s="1"/>
  <c r="S86" i="2" a="1"/>
  <c r="S86" i="2" s="1"/>
  <c r="T86" i="2" a="1"/>
  <c r="T86" i="2" s="1"/>
  <c r="U86" i="2" a="1"/>
  <c r="U86" i="2" s="1"/>
  <c r="V86" i="2" a="1"/>
  <c r="V86" i="2" s="1"/>
  <c r="W86" i="2" a="1"/>
  <c r="W86" i="2" s="1"/>
  <c r="X86" i="2" a="1"/>
  <c r="X86" i="2" s="1"/>
  <c r="Y86" i="2" a="1"/>
  <c r="Y86" i="2" s="1"/>
  <c r="Z86" i="2" a="1"/>
  <c r="Z86" i="2" s="1"/>
  <c r="AA86" i="2" a="1"/>
  <c r="AA86" i="2" s="1"/>
  <c r="AB86" i="2" a="1"/>
  <c r="AB86" i="2" s="1"/>
  <c r="AC86" i="2" a="1"/>
  <c r="AC86" i="2" s="1"/>
  <c r="C87" i="2" a="1"/>
  <c r="C87" i="2" s="1"/>
  <c r="D87" i="2" a="1"/>
  <c r="D87" i="2" s="1"/>
  <c r="E87" i="2" a="1"/>
  <c r="E87" i="2" s="1"/>
  <c r="F87" i="2" a="1"/>
  <c r="F87" i="2" s="1"/>
  <c r="G87" i="2" a="1"/>
  <c r="G87" i="2" s="1"/>
  <c r="H87" i="2" a="1"/>
  <c r="H87" i="2" s="1"/>
  <c r="I87" i="2" a="1"/>
  <c r="I87" i="2" s="1"/>
  <c r="J87" i="2" a="1"/>
  <c r="J87" i="2" s="1"/>
  <c r="K87" i="2" a="1"/>
  <c r="K87" i="2" s="1"/>
  <c r="L87" i="2" a="1"/>
  <c r="L87" i="2" s="1"/>
  <c r="M87" i="2" a="1"/>
  <c r="M87" i="2" s="1"/>
  <c r="N87" i="2" a="1"/>
  <c r="N87" i="2" s="1"/>
  <c r="O87" i="2" a="1"/>
  <c r="O87" i="2" s="1"/>
  <c r="P87" i="2" a="1"/>
  <c r="P87" i="2" s="1"/>
  <c r="Q87" i="2" a="1"/>
  <c r="Q87" i="2" s="1"/>
  <c r="R87" i="2" a="1"/>
  <c r="R87" i="2" s="1"/>
  <c r="S87" i="2" a="1"/>
  <c r="S87" i="2" s="1"/>
  <c r="T87" i="2" a="1"/>
  <c r="T87" i="2" s="1"/>
  <c r="U87" i="2" a="1"/>
  <c r="U87" i="2" s="1"/>
  <c r="V87" i="2" a="1"/>
  <c r="V87" i="2" s="1"/>
  <c r="W87" i="2" a="1"/>
  <c r="W87" i="2" s="1"/>
  <c r="X87" i="2" a="1"/>
  <c r="X87" i="2" s="1"/>
  <c r="Y87" i="2" a="1"/>
  <c r="Y87" i="2" s="1"/>
  <c r="Z87" i="2" a="1"/>
  <c r="Z87" i="2" s="1"/>
  <c r="AA87" i="2" a="1"/>
  <c r="AA87" i="2" s="1"/>
  <c r="AB87" i="2" a="1"/>
  <c r="AB87" i="2" s="1"/>
  <c r="AC87" i="2" a="1"/>
  <c r="AC87" i="2" s="1"/>
  <c r="C89" i="2" a="1"/>
  <c r="C89" i="2" s="1"/>
  <c r="D89" i="2" a="1"/>
  <c r="D89" i="2" s="1"/>
  <c r="E89" i="2" a="1"/>
  <c r="E89" i="2" s="1"/>
  <c r="F89" i="2" a="1"/>
  <c r="F89" i="2" s="1"/>
  <c r="G89" i="2" a="1"/>
  <c r="G89" i="2" s="1"/>
  <c r="H89" i="2" a="1"/>
  <c r="H89" i="2" s="1"/>
  <c r="I89" i="2" a="1"/>
  <c r="I89" i="2" s="1"/>
  <c r="J89" i="2" a="1"/>
  <c r="J89" i="2" s="1"/>
  <c r="K89" i="2" a="1"/>
  <c r="K89" i="2" s="1"/>
  <c r="L89" i="2" a="1"/>
  <c r="L89" i="2" s="1"/>
  <c r="M89" i="2" a="1"/>
  <c r="M89" i="2" s="1"/>
  <c r="N89" i="2" a="1"/>
  <c r="N89" i="2" s="1"/>
  <c r="O89" i="2" a="1"/>
  <c r="O89" i="2" s="1"/>
  <c r="P89" i="2" a="1"/>
  <c r="P89" i="2" s="1"/>
  <c r="Q89" i="2" a="1"/>
  <c r="Q89" i="2" s="1"/>
  <c r="R89" i="2" a="1"/>
  <c r="R89" i="2" s="1"/>
  <c r="S89" i="2" a="1"/>
  <c r="S89" i="2" s="1"/>
  <c r="T89" i="2" a="1"/>
  <c r="T89" i="2" s="1"/>
  <c r="U89" i="2" a="1"/>
  <c r="U89" i="2" s="1"/>
  <c r="V89" i="2" a="1"/>
  <c r="V89" i="2" s="1"/>
  <c r="W89" i="2" a="1"/>
  <c r="W89" i="2" s="1"/>
  <c r="X89" i="2" a="1"/>
  <c r="X89" i="2" s="1"/>
  <c r="Y89" i="2" a="1"/>
  <c r="Y89" i="2" s="1"/>
  <c r="Z89" i="2" a="1"/>
  <c r="Z89" i="2" s="1"/>
  <c r="AA89" i="2" a="1"/>
  <c r="AA89" i="2" s="1"/>
  <c r="AB89" i="2" a="1"/>
  <c r="AB89" i="2" s="1"/>
  <c r="AC89" i="2" a="1"/>
  <c r="AC89" i="2" s="1"/>
  <c r="C90" i="2" a="1"/>
  <c r="C90" i="2" s="1"/>
  <c r="D90" i="2" a="1"/>
  <c r="D90" i="2" s="1"/>
  <c r="E90" i="2" a="1"/>
  <c r="E90" i="2" s="1"/>
  <c r="F90" i="2" a="1"/>
  <c r="F90" i="2" s="1"/>
  <c r="G90" i="2" a="1"/>
  <c r="G90" i="2" s="1"/>
  <c r="H90" i="2" a="1"/>
  <c r="H90" i="2" s="1"/>
  <c r="I90" i="2" a="1"/>
  <c r="I90" i="2" s="1"/>
  <c r="J90" i="2" a="1"/>
  <c r="J90" i="2" s="1"/>
  <c r="K90" i="2" a="1"/>
  <c r="K90" i="2" s="1"/>
  <c r="L90" i="2" a="1"/>
  <c r="L90" i="2" s="1"/>
  <c r="M90" i="2" a="1"/>
  <c r="M90" i="2" s="1"/>
  <c r="N90" i="2" a="1"/>
  <c r="N90" i="2" s="1"/>
  <c r="O90" i="2" a="1"/>
  <c r="O90" i="2" s="1"/>
  <c r="P90" i="2" a="1"/>
  <c r="P90" i="2" s="1"/>
  <c r="Q90" i="2" a="1"/>
  <c r="Q90" i="2" s="1"/>
  <c r="R90" i="2" a="1"/>
  <c r="R90" i="2" s="1"/>
  <c r="S90" i="2" a="1"/>
  <c r="S90" i="2" s="1"/>
  <c r="T90" i="2" a="1"/>
  <c r="T90" i="2" s="1"/>
  <c r="U90" i="2" a="1"/>
  <c r="U90" i="2" s="1"/>
  <c r="V90" i="2" a="1"/>
  <c r="V90" i="2" s="1"/>
  <c r="W90" i="2" a="1"/>
  <c r="W90" i="2" s="1"/>
  <c r="X90" i="2" a="1"/>
  <c r="X90" i="2" s="1"/>
  <c r="Y90" i="2" a="1"/>
  <c r="Y90" i="2" s="1"/>
  <c r="Z90" i="2" a="1"/>
  <c r="Z90" i="2" s="1"/>
  <c r="AA90" i="2" a="1"/>
  <c r="AA90" i="2" s="1"/>
  <c r="AB90" i="2" a="1"/>
  <c r="AB90" i="2" s="1"/>
  <c r="AC90" i="2" a="1"/>
  <c r="AC90" i="2" s="1"/>
  <c r="C91" i="2" a="1"/>
  <c r="C91" i="2" s="1"/>
  <c r="D91" i="2" a="1"/>
  <c r="D91" i="2" s="1"/>
  <c r="E91" i="2" a="1"/>
  <c r="E91" i="2" s="1"/>
  <c r="F91" i="2" a="1"/>
  <c r="F91" i="2" s="1"/>
  <c r="G91" i="2" a="1"/>
  <c r="G91" i="2" s="1"/>
  <c r="H91" i="2" a="1"/>
  <c r="H91" i="2" s="1"/>
  <c r="I91" i="2" a="1"/>
  <c r="I91" i="2" s="1"/>
  <c r="J91" i="2" a="1"/>
  <c r="J91" i="2" s="1"/>
  <c r="K91" i="2" a="1"/>
  <c r="K91" i="2" s="1"/>
  <c r="L91" i="2" a="1"/>
  <c r="L91" i="2" s="1"/>
  <c r="M91" i="2" a="1"/>
  <c r="M91" i="2" s="1"/>
  <c r="N91" i="2" a="1"/>
  <c r="N91" i="2" s="1"/>
  <c r="O91" i="2" a="1"/>
  <c r="O91" i="2" s="1"/>
  <c r="P91" i="2" a="1"/>
  <c r="P91" i="2" s="1"/>
  <c r="Q91" i="2" a="1"/>
  <c r="Q91" i="2" s="1"/>
  <c r="R91" i="2" a="1"/>
  <c r="R91" i="2" s="1"/>
  <c r="S91" i="2" a="1"/>
  <c r="S91" i="2" s="1"/>
  <c r="T91" i="2" a="1"/>
  <c r="T91" i="2" s="1"/>
  <c r="U91" i="2" a="1"/>
  <c r="U91" i="2" s="1"/>
  <c r="V91" i="2" a="1"/>
  <c r="V91" i="2" s="1"/>
  <c r="W91" i="2" a="1"/>
  <c r="W91" i="2" s="1"/>
  <c r="X91" i="2" a="1"/>
  <c r="X91" i="2" s="1"/>
  <c r="Y91" i="2" a="1"/>
  <c r="Y91" i="2" s="1"/>
  <c r="Z91" i="2" a="1"/>
  <c r="Z91" i="2" s="1"/>
  <c r="AA91" i="2" a="1"/>
  <c r="AA91" i="2" s="1"/>
  <c r="AB91" i="2" a="1"/>
  <c r="AB91" i="2" s="1"/>
  <c r="AC91" i="2" a="1"/>
  <c r="AC91" i="2" s="1"/>
  <c r="C94" i="2" a="1"/>
  <c r="C94" i="2" s="1"/>
  <c r="D94" i="2" a="1"/>
  <c r="D94" i="2" s="1"/>
  <c r="E94" i="2" a="1"/>
  <c r="E94" i="2" s="1"/>
  <c r="F94" i="2" a="1"/>
  <c r="F94" i="2" s="1"/>
  <c r="G94" i="2" a="1"/>
  <c r="G94" i="2" s="1"/>
  <c r="H94" i="2" a="1"/>
  <c r="H94" i="2" s="1"/>
  <c r="I94" i="2" a="1"/>
  <c r="I94" i="2" s="1"/>
  <c r="J94" i="2" a="1"/>
  <c r="J94" i="2" s="1"/>
  <c r="K94" i="2" a="1"/>
  <c r="K94" i="2" s="1"/>
  <c r="L94" i="2" a="1"/>
  <c r="L94" i="2" s="1"/>
  <c r="M94" i="2" a="1"/>
  <c r="M94" i="2" s="1"/>
  <c r="N94" i="2" a="1"/>
  <c r="N94" i="2" s="1"/>
  <c r="O94" i="2" a="1"/>
  <c r="O94" i="2" s="1"/>
  <c r="P94" i="2" a="1"/>
  <c r="P94" i="2" s="1"/>
  <c r="Q94" i="2" a="1"/>
  <c r="Q94" i="2" s="1"/>
  <c r="R94" i="2" a="1"/>
  <c r="R94" i="2" s="1"/>
  <c r="S94" i="2" a="1"/>
  <c r="S94" i="2" s="1"/>
  <c r="T94" i="2" a="1"/>
  <c r="T94" i="2" s="1"/>
  <c r="AB94" i="2" a="1"/>
  <c r="AB94" i="2" s="1"/>
  <c r="AC94" i="2" a="1"/>
  <c r="AC94" i="2" s="1"/>
  <c r="C95" i="2" a="1"/>
  <c r="C95" i="2" s="1"/>
  <c r="D95" i="2" a="1"/>
  <c r="D95" i="2" s="1"/>
  <c r="E95" i="2" a="1"/>
  <c r="E95" i="2" s="1"/>
  <c r="F95" i="2" a="1"/>
  <c r="F95" i="2" s="1"/>
  <c r="G95" i="2" a="1"/>
  <c r="G95" i="2" s="1"/>
  <c r="H95" i="2" a="1"/>
  <c r="H95" i="2" s="1"/>
  <c r="I95" i="2" a="1"/>
  <c r="I95" i="2" s="1"/>
  <c r="J95" i="2" a="1"/>
  <c r="J95" i="2" s="1"/>
  <c r="K95" i="2" a="1"/>
  <c r="K95" i="2" s="1"/>
  <c r="L95" i="2" a="1"/>
  <c r="L95" i="2" s="1"/>
  <c r="M95" i="2" a="1"/>
  <c r="M95" i="2" s="1"/>
  <c r="N95" i="2" a="1"/>
  <c r="N95" i="2" s="1"/>
  <c r="O95" i="2" a="1"/>
  <c r="O95" i="2" s="1"/>
  <c r="P95" i="2" a="1"/>
  <c r="P95" i="2" s="1"/>
  <c r="Q95" i="2" a="1"/>
  <c r="Q95" i="2" s="1"/>
  <c r="R95" i="2" a="1"/>
  <c r="R95" i="2" s="1"/>
  <c r="S95" i="2" a="1"/>
  <c r="S95" i="2" s="1"/>
  <c r="T95" i="2" a="1"/>
  <c r="T95" i="2" s="1"/>
  <c r="AA95" i="2" a="1"/>
  <c r="AA95" i="2" s="1"/>
  <c r="AB95" i="2" a="1"/>
  <c r="AB95" i="2" s="1"/>
  <c r="AC95" i="2" a="1"/>
  <c r="AC95" i="2" s="1"/>
  <c r="C96" i="2" a="1"/>
  <c r="C96" i="2" s="1"/>
  <c r="D96" i="2" a="1"/>
  <c r="D96" i="2" s="1"/>
  <c r="E96" i="2" a="1"/>
  <c r="E96" i="2" s="1"/>
  <c r="F96" i="2" a="1"/>
  <c r="F96" i="2" s="1"/>
  <c r="G96" i="2" a="1"/>
  <c r="G96" i="2" s="1"/>
  <c r="H96" i="2" a="1"/>
  <c r="H96" i="2" s="1"/>
  <c r="I96" i="2" a="1"/>
  <c r="I96" i="2" s="1"/>
  <c r="J96" i="2" a="1"/>
  <c r="J96" i="2" s="1"/>
  <c r="K96" i="2" a="1"/>
  <c r="K96" i="2" s="1"/>
  <c r="L96" i="2" a="1"/>
  <c r="L96" i="2" s="1"/>
  <c r="M96" i="2" a="1"/>
  <c r="M96" i="2" s="1"/>
  <c r="N96" i="2" a="1"/>
  <c r="N96" i="2" s="1"/>
  <c r="O96" i="2" a="1"/>
  <c r="O96" i="2" s="1"/>
  <c r="P96" i="2" a="1"/>
  <c r="P96" i="2" s="1"/>
  <c r="Q96" i="2" a="1"/>
  <c r="Q96" i="2" s="1"/>
  <c r="R96" i="2" a="1"/>
  <c r="R96" i="2" s="1"/>
  <c r="S96" i="2" a="1"/>
  <c r="S96" i="2" s="1"/>
  <c r="T96" i="2" a="1"/>
  <c r="T96" i="2" s="1"/>
  <c r="AA96" i="2" a="1"/>
  <c r="AA96" i="2" s="1"/>
  <c r="AB96" i="2" a="1"/>
  <c r="AB96" i="2" s="1"/>
  <c r="AC96" i="2" a="1"/>
  <c r="AC96" i="2" s="1"/>
  <c r="C97" i="2" a="1"/>
  <c r="C97" i="2" s="1"/>
  <c r="D97" i="2" a="1"/>
  <c r="D97" i="2" s="1"/>
  <c r="E97" i="2" a="1"/>
  <c r="E97" i="2" s="1"/>
  <c r="F97" i="2" a="1"/>
  <c r="F97" i="2" s="1"/>
  <c r="G97" i="2" a="1"/>
  <c r="G97" i="2" s="1"/>
  <c r="H97" i="2" a="1"/>
  <c r="H97" i="2" s="1"/>
  <c r="I97" i="2" a="1"/>
  <c r="I97" i="2" s="1"/>
  <c r="J97" i="2" a="1"/>
  <c r="J97" i="2" s="1"/>
  <c r="K97" i="2" a="1"/>
  <c r="K97" i="2" s="1"/>
  <c r="L97" i="2" a="1"/>
  <c r="L97" i="2" s="1"/>
  <c r="M97" i="2" a="1"/>
  <c r="M97" i="2" s="1"/>
  <c r="N97" i="2" a="1"/>
  <c r="N97" i="2" s="1"/>
  <c r="O97" i="2" a="1"/>
  <c r="O97" i="2" s="1"/>
  <c r="P97" i="2" a="1"/>
  <c r="P97" i="2" s="1"/>
  <c r="Q97" i="2" a="1"/>
  <c r="Q97" i="2" s="1"/>
  <c r="R97" i="2" a="1"/>
  <c r="R97" i="2" s="1"/>
  <c r="S97" i="2" a="1"/>
  <c r="S97" i="2" s="1"/>
  <c r="T97" i="2" a="1"/>
  <c r="T97" i="2" s="1"/>
  <c r="AA97" i="2" a="1"/>
  <c r="AA97" i="2" s="1"/>
  <c r="AB97" i="2" a="1"/>
  <c r="AB97" i="2" s="1"/>
  <c r="AC97" i="2" a="1"/>
  <c r="AC97" i="2" s="1"/>
  <c r="C98" i="2" a="1"/>
  <c r="C98" i="2" s="1"/>
  <c r="D98" i="2" a="1"/>
  <c r="D98" i="2" s="1"/>
  <c r="E98" i="2" a="1"/>
  <c r="E98" i="2" s="1"/>
  <c r="F98" i="2" a="1"/>
  <c r="F98" i="2" s="1"/>
  <c r="G98" i="2" a="1"/>
  <c r="G98" i="2" s="1"/>
  <c r="H98" i="2" a="1"/>
  <c r="H98" i="2" s="1"/>
  <c r="I98" i="2" a="1"/>
  <c r="I98" i="2" s="1"/>
  <c r="J98" i="2" a="1"/>
  <c r="J98" i="2" s="1"/>
  <c r="K98" i="2" a="1"/>
  <c r="K98" i="2" s="1"/>
  <c r="L98" i="2" a="1"/>
  <c r="L98" i="2" s="1"/>
  <c r="M98" i="2" a="1"/>
  <c r="M98" i="2" s="1"/>
  <c r="N98" i="2" a="1"/>
  <c r="N98" i="2" s="1"/>
  <c r="O98" i="2" a="1"/>
  <c r="O98" i="2" s="1"/>
  <c r="P98" i="2" a="1"/>
  <c r="P98" i="2" s="1"/>
  <c r="Q98" i="2" a="1"/>
  <c r="Q98" i="2" s="1"/>
  <c r="R98" i="2" a="1"/>
  <c r="R98" i="2" s="1"/>
  <c r="S98" i="2" a="1"/>
  <c r="S98" i="2" s="1"/>
  <c r="T98" i="2" a="1"/>
  <c r="T98" i="2" s="1"/>
  <c r="U98" i="2" a="1"/>
  <c r="U98" i="2" s="1"/>
  <c r="V98" i="2" a="1"/>
  <c r="V98" i="2" s="1"/>
  <c r="W98" i="2" a="1"/>
  <c r="W98" i="2" s="1"/>
  <c r="X98" i="2" a="1"/>
  <c r="X98" i="2" s="1"/>
  <c r="Y98" i="2" a="1"/>
  <c r="Y98" i="2" s="1"/>
  <c r="Z98" i="2" a="1"/>
  <c r="Z98" i="2" s="1"/>
  <c r="AA98" i="2" a="1"/>
  <c r="AA98" i="2" s="1"/>
  <c r="AB98" i="2" a="1"/>
  <c r="AB98" i="2" s="1"/>
  <c r="AC98" i="2" a="1"/>
  <c r="AC98" i="2" s="1"/>
  <c r="C99" i="2" a="1"/>
  <c r="C99" i="2" s="1"/>
  <c r="D99" i="2" a="1"/>
  <c r="D99" i="2" s="1"/>
  <c r="E99" i="2" a="1"/>
  <c r="E99" i="2" s="1"/>
  <c r="F99" i="2" a="1"/>
  <c r="F99" i="2" s="1"/>
  <c r="G99" i="2" a="1"/>
  <c r="G99" i="2" s="1"/>
  <c r="H99" i="2" a="1"/>
  <c r="H99" i="2" s="1"/>
  <c r="I99" i="2" a="1"/>
  <c r="I99" i="2" s="1"/>
  <c r="J99" i="2" a="1"/>
  <c r="J99" i="2" s="1"/>
  <c r="K99" i="2" a="1"/>
  <c r="K99" i="2" s="1"/>
  <c r="L99" i="2" a="1"/>
  <c r="L99" i="2" s="1"/>
  <c r="M99" i="2" a="1"/>
  <c r="M99" i="2" s="1"/>
  <c r="N99" i="2" a="1"/>
  <c r="N99" i="2" s="1"/>
  <c r="O99" i="2" a="1"/>
  <c r="O99" i="2" s="1"/>
  <c r="P99" i="2" a="1"/>
  <c r="P99" i="2" s="1"/>
  <c r="Q99" i="2" a="1"/>
  <c r="Q99" i="2" s="1"/>
  <c r="R99" i="2" a="1"/>
  <c r="R99" i="2" s="1"/>
  <c r="S99" i="2" a="1"/>
  <c r="S99" i="2" s="1"/>
  <c r="T99" i="2" a="1"/>
  <c r="T99" i="2" s="1"/>
  <c r="U99" i="2" a="1"/>
  <c r="U99" i="2" s="1"/>
  <c r="V99" i="2" a="1"/>
  <c r="V99" i="2" s="1"/>
  <c r="W99" i="2" a="1"/>
  <c r="W99" i="2" s="1"/>
  <c r="X99" i="2" a="1"/>
  <c r="X99" i="2" s="1"/>
  <c r="Y99" i="2" a="1"/>
  <c r="Y99" i="2" s="1"/>
  <c r="Z99" i="2" a="1"/>
  <c r="Z99" i="2" s="1"/>
  <c r="AA99" i="2" a="1"/>
  <c r="AA99" i="2" s="1"/>
  <c r="AB99" i="2" a="1"/>
  <c r="AB99" i="2" s="1"/>
  <c r="AC99" i="2" a="1"/>
  <c r="AC99" i="2" s="1"/>
  <c r="C101" i="2" a="1"/>
  <c r="C101" i="2" s="1"/>
  <c r="D101" i="2" a="1"/>
  <c r="D101" i="2" s="1"/>
  <c r="E101" i="2" a="1"/>
  <c r="E101" i="2" s="1"/>
  <c r="F101" i="2" a="1"/>
  <c r="F101" i="2" s="1"/>
  <c r="G101" i="2" a="1"/>
  <c r="G101" i="2" s="1"/>
  <c r="H101" i="2" a="1"/>
  <c r="H101" i="2" s="1"/>
  <c r="I101" i="2" a="1"/>
  <c r="I101" i="2" s="1"/>
  <c r="J101" i="2" a="1"/>
  <c r="J101" i="2" s="1"/>
  <c r="K101" i="2" a="1"/>
  <c r="K101" i="2" s="1"/>
  <c r="L101" i="2" a="1"/>
  <c r="L101" i="2" s="1"/>
  <c r="M101" i="2" a="1"/>
  <c r="M101" i="2" s="1"/>
  <c r="N101" i="2" a="1"/>
  <c r="N101" i="2" s="1"/>
  <c r="O101" i="2" a="1"/>
  <c r="O101" i="2" s="1"/>
  <c r="P101" i="2" a="1"/>
  <c r="P101" i="2" s="1"/>
  <c r="Q101" i="2" a="1"/>
  <c r="Q101" i="2" s="1"/>
  <c r="R101" i="2" a="1"/>
  <c r="R101" i="2" s="1"/>
  <c r="S101" i="2" a="1"/>
  <c r="S101" i="2" s="1"/>
  <c r="T101" i="2" a="1"/>
  <c r="T101" i="2" s="1"/>
  <c r="U101" i="2" a="1"/>
  <c r="U101" i="2" s="1"/>
  <c r="V101" i="2" a="1"/>
  <c r="V101" i="2" s="1"/>
  <c r="W101" i="2" a="1"/>
  <c r="W101" i="2" s="1"/>
  <c r="X101" i="2" a="1"/>
  <c r="X101" i="2" s="1"/>
  <c r="Y101" i="2" a="1"/>
  <c r="Y101" i="2" s="1"/>
  <c r="Z101" i="2" a="1"/>
  <c r="Z101" i="2" s="1"/>
  <c r="AA101" i="2" a="1"/>
  <c r="AA101" i="2" s="1"/>
  <c r="AB101" i="2" a="1"/>
  <c r="AB101" i="2" s="1"/>
  <c r="AC101" i="2" a="1"/>
  <c r="AC101" i="2" s="1"/>
  <c r="C102" i="2" a="1"/>
  <c r="C102" i="2" s="1"/>
  <c r="D102" i="2" a="1"/>
  <c r="D102" i="2" s="1"/>
  <c r="E102" i="2" a="1"/>
  <c r="E102" i="2" s="1"/>
  <c r="F102" i="2" a="1"/>
  <c r="F102" i="2" s="1"/>
  <c r="G102" i="2" a="1"/>
  <c r="G102" i="2" s="1"/>
  <c r="H102" i="2" a="1"/>
  <c r="H102" i="2" s="1"/>
  <c r="I102" i="2" a="1"/>
  <c r="I102" i="2" s="1"/>
  <c r="J102" i="2" a="1"/>
  <c r="J102" i="2" s="1"/>
  <c r="K102" i="2" a="1"/>
  <c r="K102" i="2" s="1"/>
  <c r="L102" i="2" a="1"/>
  <c r="L102" i="2" s="1"/>
  <c r="M102" i="2" a="1"/>
  <c r="M102" i="2" s="1"/>
  <c r="N102" i="2" a="1"/>
  <c r="N102" i="2" s="1"/>
  <c r="O102" i="2" a="1"/>
  <c r="O102" i="2" s="1"/>
  <c r="P102" i="2" a="1"/>
  <c r="P102" i="2" s="1"/>
  <c r="Q102" i="2" a="1"/>
  <c r="Q102" i="2" s="1"/>
  <c r="R102" i="2" a="1"/>
  <c r="R102" i="2" s="1"/>
  <c r="S102" i="2" a="1"/>
  <c r="S102" i="2" s="1"/>
  <c r="T102" i="2" a="1"/>
  <c r="T102" i="2" s="1"/>
  <c r="U102" i="2" a="1"/>
  <c r="U102" i="2" s="1"/>
  <c r="V102" i="2" a="1"/>
  <c r="V102" i="2" s="1"/>
  <c r="W102" i="2" a="1"/>
  <c r="W102" i="2" s="1"/>
  <c r="X102" i="2" a="1"/>
  <c r="X102" i="2" s="1"/>
  <c r="Y102" i="2" a="1"/>
  <c r="Y102" i="2" s="1"/>
  <c r="Z102" i="2" a="1"/>
  <c r="Z102" i="2" s="1"/>
  <c r="AA102" i="2" a="1"/>
  <c r="AA102" i="2" s="1"/>
  <c r="AB102" i="2" a="1"/>
  <c r="AB102" i="2" s="1"/>
  <c r="AC102" i="2" a="1"/>
  <c r="AC102" i="2" s="1"/>
  <c r="C105" i="2" a="1"/>
  <c r="C105" i="2" s="1"/>
  <c r="C106" i="2" s="1"/>
  <c r="D105" i="2" a="1"/>
  <c r="D105" i="2" s="1"/>
  <c r="D106" i="2" s="1"/>
  <c r="E105" i="2" a="1"/>
  <c r="E105" i="2" s="1"/>
  <c r="E106" i="2" s="1"/>
  <c r="F105" i="2" a="1"/>
  <c r="F105" i="2" s="1"/>
  <c r="F106" i="2" s="1"/>
  <c r="G105" i="2" a="1"/>
  <c r="G105" i="2" s="1"/>
  <c r="G106" i="2" s="1"/>
  <c r="H105" i="2" a="1"/>
  <c r="H105" i="2" s="1"/>
  <c r="H106" i="2" s="1"/>
  <c r="I105" i="2" a="1"/>
  <c r="I105" i="2" s="1"/>
  <c r="I106" i="2" s="1"/>
  <c r="J105" i="2" a="1"/>
  <c r="J105" i="2" s="1"/>
  <c r="J106" i="2" s="1"/>
  <c r="K105" i="2" a="1"/>
  <c r="K105" i="2" s="1"/>
  <c r="K106" i="2" s="1"/>
  <c r="L105" i="2" a="1"/>
  <c r="L105" i="2" s="1"/>
  <c r="L106" i="2" s="1"/>
  <c r="M105" i="2" a="1"/>
  <c r="M105" i="2" s="1"/>
  <c r="M106" i="2" s="1"/>
  <c r="N105" i="2" a="1"/>
  <c r="N105" i="2" s="1"/>
  <c r="N106" i="2" s="1"/>
  <c r="O105" i="2" a="1"/>
  <c r="O105" i="2" s="1"/>
  <c r="O106" i="2" s="1"/>
  <c r="P105" i="2" a="1"/>
  <c r="P105" i="2" s="1"/>
  <c r="P106" i="2" s="1"/>
  <c r="Q105" i="2" a="1"/>
  <c r="Q105" i="2" s="1"/>
  <c r="Q106" i="2" s="1"/>
  <c r="R105" i="2" a="1"/>
  <c r="R105" i="2" s="1"/>
  <c r="R106" i="2" s="1"/>
  <c r="S105" i="2" a="1"/>
  <c r="S105" i="2" s="1"/>
  <c r="S106" i="2" s="1"/>
  <c r="T105" i="2" a="1"/>
  <c r="T105" i="2" s="1"/>
  <c r="T106" i="2" s="1"/>
  <c r="U105" i="2" a="1"/>
  <c r="U105" i="2" s="1"/>
  <c r="U106" i="2" s="1"/>
  <c r="V105" i="2" a="1"/>
  <c r="V105" i="2" s="1"/>
  <c r="V106" i="2" s="1"/>
  <c r="W105" i="2" a="1"/>
  <c r="W105" i="2" s="1"/>
  <c r="W106" i="2" s="1"/>
  <c r="X105" i="2" a="1"/>
  <c r="X105" i="2" s="1"/>
  <c r="X106" i="2" s="1"/>
  <c r="Y105" i="2" a="1"/>
  <c r="Y105" i="2" s="1"/>
  <c r="Y106" i="2" s="1"/>
  <c r="Z105" i="2" a="1"/>
  <c r="Z105" i="2" s="1"/>
  <c r="Z106" i="2" s="1"/>
  <c r="AA105" i="2" a="1"/>
  <c r="AA105" i="2" s="1"/>
  <c r="AA106" i="2" s="1"/>
  <c r="AB105" i="2" a="1"/>
  <c r="AB105" i="2" s="1"/>
  <c r="AB106" i="2" s="1"/>
  <c r="AC105" i="2" a="1"/>
  <c r="AC105" i="2" s="1"/>
  <c r="AC106" i="2" s="1"/>
  <c r="C109" i="2" a="1"/>
  <c r="C109" i="2" s="1"/>
  <c r="D109" i="2" a="1"/>
  <c r="D109" i="2" s="1"/>
  <c r="E109" i="2" a="1"/>
  <c r="E109" i="2" s="1"/>
  <c r="F109" i="2" a="1"/>
  <c r="F109" i="2" s="1"/>
  <c r="G109" i="2" a="1"/>
  <c r="G109" i="2" s="1"/>
  <c r="H109" i="2" a="1"/>
  <c r="H109" i="2" s="1"/>
  <c r="I109" i="2" a="1"/>
  <c r="I109" i="2" s="1"/>
  <c r="J109" i="2" a="1"/>
  <c r="J109" i="2" s="1"/>
  <c r="K109" i="2" a="1"/>
  <c r="K109" i="2" s="1"/>
  <c r="L109" i="2" a="1"/>
  <c r="L109" i="2" s="1"/>
  <c r="M109" i="2" a="1"/>
  <c r="M109" i="2" s="1"/>
  <c r="N109" i="2" a="1"/>
  <c r="N109" i="2" s="1"/>
  <c r="O109" i="2" a="1"/>
  <c r="O109" i="2" s="1"/>
  <c r="P109" i="2" a="1"/>
  <c r="P109" i="2" s="1"/>
  <c r="Q109" i="2" a="1"/>
  <c r="Q109" i="2" s="1"/>
  <c r="R109" i="2" a="1"/>
  <c r="R109" i="2" s="1"/>
  <c r="S109" i="2" a="1"/>
  <c r="S109" i="2" s="1"/>
  <c r="T109" i="2" a="1"/>
  <c r="T109" i="2" s="1"/>
  <c r="U109" i="2" a="1"/>
  <c r="U109" i="2" s="1"/>
  <c r="V109" i="2" a="1"/>
  <c r="V109" i="2" s="1"/>
  <c r="W109" i="2" a="1"/>
  <c r="W109" i="2" s="1"/>
  <c r="X109" i="2" a="1"/>
  <c r="X109" i="2" s="1"/>
  <c r="Y109" i="2" a="1"/>
  <c r="Y109" i="2" s="1"/>
  <c r="Z109" i="2" a="1"/>
  <c r="Z109" i="2" s="1"/>
  <c r="AA109" i="2" a="1"/>
  <c r="AA109" i="2" s="1"/>
  <c r="AB109" i="2" a="1"/>
  <c r="AB109" i="2" s="1"/>
  <c r="AC109" i="2" a="1"/>
  <c r="AC109" i="2" s="1"/>
  <c r="C110" i="2" a="1"/>
  <c r="C110" i="2" s="1"/>
  <c r="C111" i="2" s="1"/>
  <c r="D110" i="2" a="1"/>
  <c r="D110" i="2" s="1"/>
  <c r="D111" i="2" s="1"/>
  <c r="E110" i="2" a="1"/>
  <c r="E110" i="2" s="1"/>
  <c r="E111" i="2" s="1"/>
  <c r="F110" i="2" a="1"/>
  <c r="F110" i="2" s="1"/>
  <c r="F111" i="2" s="1"/>
  <c r="G110" i="2" a="1"/>
  <c r="G110" i="2" s="1"/>
  <c r="G111" i="2" s="1"/>
  <c r="H110" i="2" a="1"/>
  <c r="H110" i="2" s="1"/>
  <c r="H111" i="2" s="1"/>
  <c r="I110" i="2" a="1"/>
  <c r="I110" i="2" s="1"/>
  <c r="I111" i="2" s="1"/>
  <c r="J110" i="2" a="1"/>
  <c r="J110" i="2" s="1"/>
  <c r="J111" i="2" s="1"/>
  <c r="K110" i="2" a="1"/>
  <c r="K110" i="2" s="1"/>
  <c r="K111" i="2" s="1"/>
  <c r="L110" i="2" a="1"/>
  <c r="L110" i="2" s="1"/>
  <c r="L111" i="2" s="1"/>
  <c r="M110" i="2" a="1"/>
  <c r="M110" i="2" s="1"/>
  <c r="M111" i="2" s="1"/>
  <c r="N110" i="2" a="1"/>
  <c r="N110" i="2" s="1"/>
  <c r="N111" i="2" s="1"/>
  <c r="O110" i="2" a="1"/>
  <c r="O110" i="2" s="1"/>
  <c r="O111" i="2" s="1"/>
  <c r="P110" i="2" a="1"/>
  <c r="P110" i="2" s="1"/>
  <c r="P111" i="2" s="1"/>
  <c r="Q110" i="2" a="1"/>
  <c r="Q110" i="2" s="1"/>
  <c r="Q111" i="2" s="1"/>
  <c r="R110" i="2" a="1"/>
  <c r="R110" i="2" s="1"/>
  <c r="R111" i="2" s="1"/>
  <c r="S110" i="2" a="1"/>
  <c r="S110" i="2" s="1"/>
  <c r="S111" i="2" s="1"/>
  <c r="T110" i="2" a="1"/>
  <c r="T110" i="2" s="1"/>
  <c r="T111" i="2" s="1"/>
  <c r="U110" i="2" a="1"/>
  <c r="U110" i="2" s="1"/>
  <c r="U111" i="2" s="1"/>
  <c r="V110" i="2" a="1"/>
  <c r="V110" i="2" s="1"/>
  <c r="V111" i="2" s="1"/>
  <c r="W110" i="2" a="1"/>
  <c r="W110" i="2" s="1"/>
  <c r="W111" i="2" s="1"/>
  <c r="X110" i="2" a="1"/>
  <c r="X110" i="2" s="1"/>
  <c r="X111" i="2" s="1"/>
  <c r="Y110" i="2" a="1"/>
  <c r="Y110" i="2" s="1"/>
  <c r="Y111" i="2" s="1"/>
  <c r="Z110" i="2" a="1"/>
  <c r="Z110" i="2" s="1"/>
  <c r="Z111" i="2" s="1"/>
  <c r="AA110" i="2" a="1"/>
  <c r="AA110" i="2" s="1"/>
  <c r="AA111" i="2" s="1"/>
  <c r="AB110" i="2" a="1"/>
  <c r="AB110" i="2" s="1"/>
  <c r="AB111" i="2" s="1"/>
  <c r="AC110" i="2" a="1"/>
  <c r="AC110" i="2" s="1"/>
  <c r="AC111" i="2" s="1"/>
  <c r="C113" i="2" a="1"/>
  <c r="C113" i="2" s="1"/>
  <c r="D113" i="2" a="1"/>
  <c r="D113" i="2" s="1"/>
  <c r="E113" i="2" a="1"/>
  <c r="E113" i="2" s="1"/>
  <c r="F113" i="2" a="1"/>
  <c r="F113" i="2" s="1"/>
  <c r="G113" i="2" a="1"/>
  <c r="G113" i="2" s="1"/>
  <c r="H113" i="2" a="1"/>
  <c r="H113" i="2" s="1"/>
  <c r="I113" i="2" a="1"/>
  <c r="I113" i="2" s="1"/>
  <c r="J113" i="2" a="1"/>
  <c r="J113" i="2" s="1"/>
  <c r="K113" i="2" a="1"/>
  <c r="K113" i="2" s="1"/>
  <c r="L113" i="2" a="1"/>
  <c r="L113" i="2" s="1"/>
  <c r="M113" i="2" a="1"/>
  <c r="M113" i="2" s="1"/>
  <c r="N113" i="2" a="1"/>
  <c r="N113" i="2" s="1"/>
  <c r="O113" i="2" a="1"/>
  <c r="O113" i="2" s="1"/>
  <c r="P113" i="2" a="1"/>
  <c r="P113" i="2" s="1"/>
  <c r="Q113" i="2" a="1"/>
  <c r="Q113" i="2" s="1"/>
  <c r="R113" i="2" a="1"/>
  <c r="R113" i="2" s="1"/>
  <c r="S113" i="2" a="1"/>
  <c r="S113" i="2" s="1"/>
  <c r="T113" i="2" a="1"/>
  <c r="T113" i="2" s="1"/>
  <c r="U113" i="2" a="1"/>
  <c r="U113" i="2" s="1"/>
  <c r="V113" i="2" a="1"/>
  <c r="V113" i="2" s="1"/>
  <c r="W113" i="2" a="1"/>
  <c r="W113" i="2" s="1"/>
  <c r="X113" i="2" a="1"/>
  <c r="X113" i="2" s="1"/>
  <c r="Y113" i="2" a="1"/>
  <c r="Y113" i="2" s="1"/>
  <c r="Z113" i="2" a="1"/>
  <c r="Z113" i="2" s="1"/>
  <c r="AA113" i="2" a="1"/>
  <c r="AA113" i="2" s="1"/>
  <c r="AB113" i="2" a="1"/>
  <c r="AB113" i="2" s="1"/>
  <c r="AC113" i="2" a="1"/>
  <c r="AC113" i="2" s="1"/>
  <c r="C114" i="2" a="1"/>
  <c r="C114" i="2" s="1"/>
  <c r="D114" i="2" a="1"/>
  <c r="D114" i="2" s="1"/>
  <c r="E114" i="2" a="1"/>
  <c r="E114" i="2" s="1"/>
  <c r="F114" i="2" a="1"/>
  <c r="F114" i="2" s="1"/>
  <c r="G114" i="2" a="1"/>
  <c r="G114" i="2" s="1"/>
  <c r="H114" i="2" a="1"/>
  <c r="H114" i="2" s="1"/>
  <c r="I114" i="2" a="1"/>
  <c r="I114" i="2" s="1"/>
  <c r="J114" i="2" a="1"/>
  <c r="J114" i="2" s="1"/>
  <c r="K114" i="2" a="1"/>
  <c r="K114" i="2" s="1"/>
  <c r="L114" i="2" a="1"/>
  <c r="L114" i="2" s="1"/>
  <c r="M114" i="2" a="1"/>
  <c r="M114" i="2" s="1"/>
  <c r="N114" i="2" a="1"/>
  <c r="N114" i="2" s="1"/>
  <c r="O114" i="2" a="1"/>
  <c r="O114" i="2" s="1"/>
  <c r="P114" i="2" a="1"/>
  <c r="P114" i="2" s="1"/>
  <c r="Q114" i="2" a="1"/>
  <c r="Q114" i="2" s="1"/>
  <c r="R114" i="2" a="1"/>
  <c r="R114" i="2" s="1"/>
  <c r="S114" i="2" a="1"/>
  <c r="S114" i="2" s="1"/>
  <c r="T114" i="2" a="1"/>
  <c r="T114" i="2" s="1"/>
  <c r="U114" i="2" a="1"/>
  <c r="U114" i="2" s="1"/>
  <c r="V114" i="2" a="1"/>
  <c r="V114" i="2" s="1"/>
  <c r="W114" i="2" a="1"/>
  <c r="W114" i="2" s="1"/>
  <c r="X114" i="2" a="1"/>
  <c r="X114" i="2" s="1"/>
  <c r="Y114" i="2" a="1"/>
  <c r="Y114" i="2" s="1"/>
  <c r="Z114" i="2" a="1"/>
  <c r="Z114" i="2" s="1"/>
  <c r="AA114" i="2" a="1"/>
  <c r="AA114" i="2" s="1"/>
  <c r="AB114" i="2" a="1"/>
  <c r="AB114" i="2" s="1"/>
  <c r="AC114" i="2" a="1"/>
  <c r="AC114" i="2" s="1"/>
  <c r="C115" i="2" a="1"/>
  <c r="C115" i="2" s="1"/>
  <c r="D115" i="2" a="1"/>
  <c r="D115" i="2" s="1"/>
  <c r="E115" i="2" a="1"/>
  <c r="E115" i="2" s="1"/>
  <c r="F115" i="2" a="1"/>
  <c r="F115" i="2" s="1"/>
  <c r="G115" i="2" a="1"/>
  <c r="G115" i="2" s="1"/>
  <c r="H115" i="2" a="1"/>
  <c r="H115" i="2" s="1"/>
  <c r="I115" i="2" a="1"/>
  <c r="I115" i="2" s="1"/>
  <c r="J115" i="2" a="1"/>
  <c r="J115" i="2" s="1"/>
  <c r="K115" i="2" a="1"/>
  <c r="K115" i="2" s="1"/>
  <c r="L115" i="2" a="1"/>
  <c r="L115" i="2" s="1"/>
  <c r="M115" i="2" a="1"/>
  <c r="M115" i="2" s="1"/>
  <c r="N115" i="2" a="1"/>
  <c r="N115" i="2" s="1"/>
  <c r="O115" i="2" a="1"/>
  <c r="O115" i="2" s="1"/>
  <c r="P115" i="2" a="1"/>
  <c r="P115" i="2" s="1"/>
  <c r="Q115" i="2" a="1"/>
  <c r="Q115" i="2" s="1"/>
  <c r="R115" i="2" a="1"/>
  <c r="R115" i="2" s="1"/>
  <c r="S115" i="2" a="1"/>
  <c r="S115" i="2" s="1"/>
  <c r="T115" i="2" a="1"/>
  <c r="T115" i="2" s="1"/>
  <c r="U115" i="2" a="1"/>
  <c r="U115" i="2" s="1"/>
  <c r="V115" i="2" a="1"/>
  <c r="V115" i="2" s="1"/>
  <c r="W115" i="2" a="1"/>
  <c r="W115" i="2" s="1"/>
  <c r="X115" i="2" a="1"/>
  <c r="X115" i="2" s="1"/>
  <c r="Y115" i="2" a="1"/>
  <c r="Y115" i="2" s="1"/>
  <c r="Z115" i="2" a="1"/>
  <c r="Z115" i="2" s="1"/>
  <c r="AA115" i="2" a="1"/>
  <c r="AA115" i="2" s="1"/>
  <c r="AB115" i="2" a="1"/>
  <c r="AB115" i="2" s="1"/>
  <c r="AC115" i="2" a="1"/>
  <c r="AC115" i="2" s="1"/>
  <c r="C116" i="2" a="1"/>
  <c r="C116" i="2" s="1"/>
  <c r="D116" i="2" a="1"/>
  <c r="D116" i="2" s="1"/>
  <c r="E116" i="2" a="1"/>
  <c r="E116" i="2" s="1"/>
  <c r="F116" i="2" a="1"/>
  <c r="F116" i="2" s="1"/>
  <c r="G116" i="2" a="1"/>
  <c r="G116" i="2" s="1"/>
  <c r="H116" i="2" a="1"/>
  <c r="H116" i="2" s="1"/>
  <c r="I116" i="2" a="1"/>
  <c r="I116" i="2" s="1"/>
  <c r="J116" i="2" a="1"/>
  <c r="J116" i="2" s="1"/>
  <c r="K116" i="2" a="1"/>
  <c r="K116" i="2" s="1"/>
  <c r="L116" i="2" a="1"/>
  <c r="L116" i="2" s="1"/>
  <c r="M116" i="2" a="1"/>
  <c r="M116" i="2" s="1"/>
  <c r="N116" i="2" a="1"/>
  <c r="N116" i="2" s="1"/>
  <c r="O116" i="2" a="1"/>
  <c r="O116" i="2" s="1"/>
  <c r="P116" i="2" a="1"/>
  <c r="P116" i="2" s="1"/>
  <c r="Q116" i="2" a="1"/>
  <c r="Q116" i="2" s="1"/>
  <c r="R116" i="2" a="1"/>
  <c r="R116" i="2" s="1"/>
  <c r="S116" i="2" a="1"/>
  <c r="S116" i="2" s="1"/>
  <c r="T116" i="2" a="1"/>
  <c r="T116" i="2" s="1"/>
  <c r="U116" i="2" a="1"/>
  <c r="U116" i="2" s="1"/>
  <c r="V116" i="2" a="1"/>
  <c r="V116" i="2" s="1"/>
  <c r="W116" i="2" a="1"/>
  <c r="W116" i="2" s="1"/>
  <c r="X116" i="2" a="1"/>
  <c r="X116" i="2" s="1"/>
  <c r="Y116" i="2" a="1"/>
  <c r="Y116" i="2" s="1"/>
  <c r="Z116" i="2" a="1"/>
  <c r="Z116" i="2" s="1"/>
  <c r="AA116" i="2" a="1"/>
  <c r="AA116" i="2" s="1"/>
  <c r="AB116" i="2" a="1"/>
  <c r="AB116" i="2" s="1"/>
  <c r="AC116" i="2" a="1"/>
  <c r="AC116" i="2" s="1"/>
  <c r="AB103" i="2" l="1"/>
  <c r="K84" i="2"/>
  <c r="V64" i="2"/>
  <c r="G88" i="2"/>
  <c r="W84" i="2"/>
  <c r="W88" i="2"/>
  <c r="S16" i="2"/>
  <c r="S19" i="2" s="1"/>
  <c r="C16" i="2"/>
  <c r="C19" i="2" s="1"/>
  <c r="L84" i="2"/>
  <c r="P73" i="2"/>
  <c r="H103" i="2"/>
  <c r="S88" i="2"/>
  <c r="E84" i="2"/>
  <c r="L10" i="2"/>
  <c r="X103" i="2"/>
  <c r="AA16" i="2"/>
  <c r="AA19" i="2" s="1"/>
  <c r="K16" i="2"/>
  <c r="K19" i="2" s="1"/>
  <c r="P10" i="2"/>
  <c r="S103" i="2"/>
  <c r="K100" i="2"/>
  <c r="Y103" i="2"/>
  <c r="I103" i="2"/>
  <c r="O88" i="2"/>
  <c r="X84" i="2"/>
  <c r="H84" i="2"/>
  <c r="H73" i="2"/>
  <c r="W117" i="2"/>
  <c r="W118" i="2" s="1"/>
  <c r="W119" i="2" s="1"/>
  <c r="N103" i="2"/>
  <c r="C103" i="2"/>
  <c r="O117" i="2"/>
  <c r="O118" i="2" s="1"/>
  <c r="O119" i="2" s="1"/>
  <c r="V103" i="2"/>
  <c r="F103" i="2"/>
  <c r="AA103" i="2"/>
  <c r="Q103" i="2"/>
  <c r="K103" i="2"/>
  <c r="I41" i="2"/>
  <c r="C88" i="2"/>
  <c r="P84" i="2"/>
  <c r="K56" i="2"/>
  <c r="N16" i="2"/>
  <c r="N19" i="2" s="1"/>
  <c r="F16" i="2"/>
  <c r="F19" i="2" s="1"/>
  <c r="H10" i="2"/>
  <c r="E10" i="2"/>
  <c r="Z103" i="2"/>
  <c r="R103" i="2"/>
  <c r="J103" i="2"/>
  <c r="AC103" i="2"/>
  <c r="U103" i="2"/>
  <c r="M103" i="2"/>
  <c r="E103" i="2"/>
  <c r="G84" i="2"/>
  <c r="M73" i="2"/>
  <c r="N64" i="2"/>
  <c r="T103" i="2"/>
  <c r="D103" i="2"/>
  <c r="W103" i="2"/>
  <c r="O103" i="2"/>
  <c r="G103" i="2"/>
  <c r="AA100" i="2"/>
  <c r="U84" i="2"/>
  <c r="T73" i="2"/>
  <c r="L73" i="2"/>
  <c r="Y41" i="2"/>
  <c r="W25" i="2"/>
  <c r="T10" i="2"/>
  <c r="C56" i="2"/>
  <c r="V48" i="2"/>
  <c r="F48" i="2"/>
  <c r="AB16" i="2"/>
  <c r="AB19" i="2" s="1"/>
  <c r="U73" i="2"/>
  <c r="AC56" i="2"/>
  <c r="D56" i="2"/>
  <c r="AB10" i="2"/>
  <c r="D10" i="2"/>
  <c r="X10" i="2"/>
  <c r="M75" i="3"/>
  <c r="L103" i="2"/>
  <c r="AB73" i="2"/>
  <c r="P103" i="2"/>
  <c r="X73" i="2"/>
  <c r="I117" i="2"/>
  <c r="I118" i="2" s="1"/>
  <c r="I119" i="2" s="1"/>
  <c r="S84" i="2"/>
  <c r="C84" i="2"/>
  <c r="X64" i="2"/>
  <c r="H64" i="2"/>
  <c r="AA56" i="2"/>
  <c r="Z48" i="2"/>
  <c r="U48" i="2"/>
  <c r="E48" i="2"/>
  <c r="D41" i="2"/>
  <c r="M78" i="3"/>
  <c r="O41" i="2"/>
  <c r="V16" i="2"/>
  <c r="V19" i="2" s="1"/>
  <c r="AA88" i="2"/>
  <c r="K88" i="2"/>
  <c r="M84" i="2"/>
  <c r="D73" i="2"/>
  <c r="AA64" i="2"/>
  <c r="AA67" i="2" s="1"/>
  <c r="K64" i="2"/>
  <c r="K67" i="2" s="1"/>
  <c r="W64" i="2"/>
  <c r="G64" i="2"/>
  <c r="P48" i="2"/>
  <c r="N48" i="2"/>
  <c r="Q41" i="2"/>
  <c r="AB41" i="2"/>
  <c r="U10" i="2"/>
  <c r="G117" i="2"/>
  <c r="G118" i="2" s="1"/>
  <c r="G119" i="2" s="1"/>
  <c r="AB84" i="2"/>
  <c r="S64" i="2"/>
  <c r="C64" i="2"/>
  <c r="O64" i="2"/>
  <c r="T41" i="2"/>
  <c r="S56" i="2"/>
  <c r="S67" i="2" s="1"/>
  <c r="Z16" i="2"/>
  <c r="Z19" i="2" s="1"/>
  <c r="R16" i="2"/>
  <c r="R19" i="2" s="1"/>
  <c r="J16" i="2"/>
  <c r="J19" i="2" s="1"/>
  <c r="M10" i="2"/>
  <c r="C117" i="2"/>
  <c r="C118" i="2" s="1"/>
  <c r="C119" i="2" s="1"/>
  <c r="AC117" i="2"/>
  <c r="AC118" i="2" s="1"/>
  <c r="AC119" i="2" s="1"/>
  <c r="U117" i="2"/>
  <c r="U118" i="2" s="1"/>
  <c r="U119" i="2" s="1"/>
  <c r="M117" i="2"/>
  <c r="M118" i="2" s="1"/>
  <c r="M119" i="2" s="1"/>
  <c r="E117" i="2"/>
  <c r="X117" i="2"/>
  <c r="X118" i="2" s="1"/>
  <c r="X119" i="2" s="1"/>
  <c r="P117" i="2"/>
  <c r="P118" i="2" s="1"/>
  <c r="P119" i="2" s="1"/>
  <c r="H117" i="2"/>
  <c r="H118" i="2" s="1"/>
  <c r="H119" i="2" s="1"/>
  <c r="S100" i="2"/>
  <c r="G100" i="2"/>
  <c r="C100" i="2"/>
  <c r="O100" i="2"/>
  <c r="AB88" i="2"/>
  <c r="T88" i="2"/>
  <c r="L88" i="2"/>
  <c r="D88" i="2"/>
  <c r="O84" i="2"/>
  <c r="Z84" i="2"/>
  <c r="T84" i="2"/>
  <c r="J84" i="2"/>
  <c r="D84" i="2"/>
  <c r="AC73" i="2"/>
  <c r="E73" i="2"/>
  <c r="P64" i="2"/>
  <c r="F64" i="2"/>
  <c r="T56" i="2"/>
  <c r="O56" i="2"/>
  <c r="AC10" i="2"/>
  <c r="AA25" i="2"/>
  <c r="S25" i="2"/>
  <c r="K25" i="2"/>
  <c r="G25" i="2"/>
  <c r="C25" i="2"/>
  <c r="U16" i="2"/>
  <c r="U19" i="2" s="1"/>
  <c r="M16" i="2"/>
  <c r="M19" i="2" s="1"/>
  <c r="E16" i="2"/>
  <c r="E19" i="2" s="1"/>
  <c r="Q16" i="2"/>
  <c r="Q19" i="2" s="1"/>
  <c r="W16" i="2"/>
  <c r="W19" i="2" s="1"/>
  <c r="O16" i="2"/>
  <c r="O19" i="2" s="1"/>
  <c r="G16" i="2"/>
  <c r="G19" i="2" s="1"/>
  <c r="W56" i="2"/>
  <c r="G56" i="2"/>
  <c r="C41" i="2"/>
  <c r="AA10" i="2"/>
  <c r="S10" i="2"/>
  <c r="K10" i="2"/>
  <c r="C10" i="2"/>
  <c r="W100" i="2"/>
  <c r="Y117" i="2"/>
  <c r="Y118" i="2" s="1"/>
  <c r="Y119" i="2" s="1"/>
  <c r="Q117" i="2"/>
  <c r="Q118" i="2" s="1"/>
  <c r="Q119" i="2" s="1"/>
  <c r="AB117" i="2"/>
  <c r="T117" i="2"/>
  <c r="T118" i="2" s="1"/>
  <c r="T119" i="2" s="1"/>
  <c r="L117" i="2"/>
  <c r="L118" i="2" s="1"/>
  <c r="L119" i="2" s="1"/>
  <c r="D117" i="2"/>
  <c r="D118" i="2" s="1"/>
  <c r="D119" i="2" s="1"/>
  <c r="Z117" i="2"/>
  <c r="Z118" i="2" s="1"/>
  <c r="Z119" i="2" s="1"/>
  <c r="R117" i="2"/>
  <c r="R118" i="2" s="1"/>
  <c r="R119" i="2" s="1"/>
  <c r="J117" i="2"/>
  <c r="J118" i="2" s="1"/>
  <c r="J119" i="2" s="1"/>
  <c r="AA117" i="2"/>
  <c r="AA118" i="2" s="1"/>
  <c r="AA119" i="2" s="1"/>
  <c r="S117" i="2"/>
  <c r="S118" i="2" s="1"/>
  <c r="S119" i="2" s="1"/>
  <c r="K117" i="2"/>
  <c r="K118" i="2" s="1"/>
  <c r="K119" i="2" s="1"/>
  <c r="V117" i="2"/>
  <c r="V118" i="2" s="1"/>
  <c r="V119" i="2" s="1"/>
  <c r="N117" i="2"/>
  <c r="N118" i="2" s="1"/>
  <c r="N119" i="2" s="1"/>
  <c r="F117" i="2"/>
  <c r="F118" i="2" s="1"/>
  <c r="F119" i="2" s="1"/>
  <c r="Z88" i="2"/>
  <c r="R88" i="2"/>
  <c r="J88" i="2"/>
  <c r="Z10" i="2"/>
  <c r="R10" i="2"/>
  <c r="J10" i="2"/>
  <c r="AB100" i="2"/>
  <c r="X100" i="2"/>
  <c r="T100" i="2"/>
  <c r="P100" i="2"/>
  <c r="L100" i="2"/>
  <c r="H100" i="2"/>
  <c r="D100" i="2"/>
  <c r="Y100" i="2"/>
  <c r="I100" i="2"/>
  <c r="Y84" i="2"/>
  <c r="V84" i="2"/>
  <c r="I84" i="2"/>
  <c r="F84" i="2"/>
  <c r="Q100" i="2"/>
  <c r="AC88" i="2"/>
  <c r="Y88" i="2"/>
  <c r="U88" i="2"/>
  <c r="Q88" i="2"/>
  <c r="M88" i="2"/>
  <c r="I88" i="2"/>
  <c r="E88" i="2"/>
  <c r="V88" i="2"/>
  <c r="N88" i="2"/>
  <c r="F88" i="2"/>
  <c r="AA84" i="2"/>
  <c r="R84" i="2"/>
  <c r="Z100" i="2"/>
  <c r="V100" i="2"/>
  <c r="R100" i="2"/>
  <c r="N100" i="2"/>
  <c r="J100" i="2"/>
  <c r="F100" i="2"/>
  <c r="AC100" i="2"/>
  <c r="U100" i="2"/>
  <c r="M100" i="2"/>
  <c r="E100" i="2"/>
  <c r="X88" i="2"/>
  <c r="P88" i="2"/>
  <c r="H88" i="2"/>
  <c r="AC84" i="2"/>
  <c r="Q84" i="2"/>
  <c r="N84" i="2"/>
  <c r="Y73" i="2"/>
  <c r="Q73" i="2"/>
  <c r="I73" i="2"/>
  <c r="Z64" i="2"/>
  <c r="R64" i="2"/>
  <c r="J64" i="2"/>
  <c r="AC64" i="2"/>
  <c r="U64" i="2"/>
  <c r="M64" i="2"/>
  <c r="E64" i="2"/>
  <c r="P41" i="2"/>
  <c r="AA41" i="2"/>
  <c r="K41" i="2"/>
  <c r="W41" i="2"/>
  <c r="G41" i="2"/>
  <c r="U41" i="2"/>
  <c r="R41" i="2"/>
  <c r="E41" i="2"/>
  <c r="Y56" i="2"/>
  <c r="I56" i="2"/>
  <c r="J48" i="2"/>
  <c r="AA48" i="2"/>
  <c r="S48" i="2"/>
  <c r="K48" i="2"/>
  <c r="AA73" i="2"/>
  <c r="V73" i="2"/>
  <c r="S73" i="2"/>
  <c r="N73" i="2"/>
  <c r="K73" i="2"/>
  <c r="F73" i="2"/>
  <c r="C73" i="2"/>
  <c r="U56" i="2"/>
  <c r="E56" i="2"/>
  <c r="P56" i="2"/>
  <c r="N56" i="2"/>
  <c r="AC48" i="2"/>
  <c r="X48" i="2"/>
  <c r="M48" i="2"/>
  <c r="H48" i="2"/>
  <c r="C48" i="2"/>
  <c r="L41" i="2"/>
  <c r="X41" i="2"/>
  <c r="H41" i="2"/>
  <c r="AC41" i="2"/>
  <c r="S41" i="2"/>
  <c r="M41" i="2"/>
  <c r="AB64" i="2"/>
  <c r="Y64" i="2"/>
  <c r="T64" i="2"/>
  <c r="Q64" i="2"/>
  <c r="L64" i="2"/>
  <c r="I64" i="2"/>
  <c r="D64" i="2"/>
  <c r="Z56" i="2"/>
  <c r="AB56" i="2"/>
  <c r="AB67" i="2" s="1"/>
  <c r="L56" i="2"/>
  <c r="Q56" i="2"/>
  <c r="D48" i="2"/>
  <c r="W48" i="2"/>
  <c r="R48" i="2"/>
  <c r="O48" i="2"/>
  <c r="G48" i="2"/>
  <c r="Z73" i="2"/>
  <c r="W73" i="2"/>
  <c r="R73" i="2"/>
  <c r="O73" i="2"/>
  <c r="J73" i="2"/>
  <c r="G73" i="2"/>
  <c r="R56" i="2"/>
  <c r="R67" i="2" s="1"/>
  <c r="J56" i="2"/>
  <c r="M56" i="2"/>
  <c r="X56" i="2"/>
  <c r="H56" i="2"/>
  <c r="V56" i="2"/>
  <c r="F56" i="2"/>
  <c r="AB48" i="2"/>
  <c r="Y48" i="2"/>
  <c r="T48" i="2"/>
  <c r="Q48" i="2"/>
  <c r="L48" i="2"/>
  <c r="I48" i="2"/>
  <c r="N41" i="2"/>
  <c r="Y16" i="2"/>
  <c r="Y19" i="2" s="1"/>
  <c r="I16" i="2"/>
  <c r="I19" i="2" s="1"/>
  <c r="Z41" i="2"/>
  <c r="J41" i="2"/>
  <c r="AB25" i="2"/>
  <c r="T25" i="2"/>
  <c r="L25" i="2"/>
  <c r="D25" i="2"/>
  <c r="V41" i="2"/>
  <c r="F41" i="2"/>
  <c r="O25" i="2"/>
  <c r="V25" i="2"/>
  <c r="N25" i="2"/>
  <c r="F25" i="2"/>
  <c r="X25" i="2"/>
  <c r="P25" i="2"/>
  <c r="H25" i="2"/>
  <c r="AC25" i="2"/>
  <c r="Y25" i="2"/>
  <c r="U25" i="2"/>
  <c r="Q25" i="2"/>
  <c r="M25" i="2"/>
  <c r="I25" i="2"/>
  <c r="E25" i="2"/>
  <c r="Z25" i="2"/>
  <c r="R25" i="2"/>
  <c r="J25" i="2"/>
  <c r="AC16" i="2"/>
  <c r="AC19" i="2" s="1"/>
  <c r="X16" i="2"/>
  <c r="X19" i="2" s="1"/>
  <c r="P16" i="2"/>
  <c r="P19" i="2" s="1"/>
  <c r="H16" i="2"/>
  <c r="H19" i="2" s="1"/>
  <c r="W10" i="2"/>
  <c r="O10" i="2"/>
  <c r="G10" i="2"/>
  <c r="Y10" i="2"/>
  <c r="V10" i="2"/>
  <c r="Q10" i="2"/>
  <c r="N10" i="2"/>
  <c r="I10" i="2"/>
  <c r="F10" i="2"/>
  <c r="T16" i="2"/>
  <c r="T19" i="2" s="1"/>
  <c r="L16" i="2"/>
  <c r="L19" i="2" s="1"/>
  <c r="D16" i="2"/>
  <c r="D19" i="2" s="1"/>
  <c r="G58" i="3"/>
  <c r="K92" i="2" l="1"/>
  <c r="S92" i="2"/>
  <c r="G92" i="2"/>
  <c r="W92" i="2"/>
  <c r="X92" i="2"/>
  <c r="V67" i="2"/>
  <c r="Z67" i="2"/>
  <c r="O92" i="2"/>
  <c r="G67" i="2"/>
  <c r="D67" i="2"/>
  <c r="M92" i="2"/>
  <c r="AA30" i="2"/>
  <c r="AA31" i="2" s="1"/>
  <c r="C67" i="2"/>
  <c r="L92" i="2"/>
  <c r="P30" i="2"/>
  <c r="P31" i="2" s="1"/>
  <c r="X67" i="2"/>
  <c r="W67" i="2"/>
  <c r="T92" i="2"/>
  <c r="O67" i="2"/>
  <c r="C92" i="2"/>
  <c r="H67" i="2"/>
  <c r="J92" i="2"/>
  <c r="D30" i="2"/>
  <c r="D31" i="2" s="1"/>
  <c r="W30" i="2"/>
  <c r="W31" i="2" s="1"/>
  <c r="AC30" i="2"/>
  <c r="AC31" i="2" s="1"/>
  <c r="M67" i="2"/>
  <c r="H92" i="2"/>
  <c r="E92" i="2"/>
  <c r="AB92" i="2"/>
  <c r="AB107" i="2" s="1"/>
  <c r="M30" i="2"/>
  <c r="M31" i="2" s="1"/>
  <c r="H30" i="2"/>
  <c r="H31" i="2" s="1"/>
  <c r="Q67" i="2"/>
  <c r="AC67" i="2"/>
  <c r="N92" i="2"/>
  <c r="L67" i="2"/>
  <c r="T67" i="2"/>
  <c r="Q92" i="2"/>
  <c r="F30" i="2"/>
  <c r="F31" i="2" s="1"/>
  <c r="Y67" i="2"/>
  <c r="U67" i="2"/>
  <c r="U92" i="2"/>
  <c r="Z92" i="2"/>
  <c r="E30" i="2"/>
  <c r="E31" i="2" s="1"/>
  <c r="D92" i="2"/>
  <c r="X30" i="2"/>
  <c r="X31" i="2" s="1"/>
  <c r="N67" i="2"/>
  <c r="N107" i="2" s="1"/>
  <c r="P92" i="2"/>
  <c r="I92" i="2"/>
  <c r="V30" i="2"/>
  <c r="V31" i="2" s="1"/>
  <c r="I67" i="2"/>
  <c r="E118" i="2"/>
  <c r="E119" i="2" s="1"/>
  <c r="L30" i="2"/>
  <c r="L31" i="2" s="1"/>
  <c r="N30" i="2"/>
  <c r="N31" i="2" s="1"/>
  <c r="G30" i="2"/>
  <c r="G31" i="2" s="1"/>
  <c r="U30" i="2"/>
  <c r="U31" i="2" s="1"/>
  <c r="AB30" i="2"/>
  <c r="AB31" i="2" s="1"/>
  <c r="J67" i="2"/>
  <c r="P67" i="2"/>
  <c r="AA92" i="2"/>
  <c r="AA107" i="2" s="1"/>
  <c r="AB118" i="2"/>
  <c r="AB119" i="2" s="1"/>
  <c r="K30" i="2"/>
  <c r="K31" i="2" s="1"/>
  <c r="R30" i="2"/>
  <c r="R31" i="2" s="1"/>
  <c r="F67" i="2"/>
  <c r="AC92" i="2"/>
  <c r="V92" i="2"/>
  <c r="C30" i="2"/>
  <c r="C31" i="2" s="1"/>
  <c r="T30" i="2"/>
  <c r="T31" i="2" s="1"/>
  <c r="Q30" i="2"/>
  <c r="Q31" i="2" s="1"/>
  <c r="Y92" i="2"/>
  <c r="S30" i="2"/>
  <c r="S31" i="2" s="1"/>
  <c r="I30" i="2"/>
  <c r="I31" i="2" s="1"/>
  <c r="Y30" i="2"/>
  <c r="Y31" i="2" s="1"/>
  <c r="K107" i="2"/>
  <c r="J30" i="2"/>
  <c r="J31" i="2" s="1"/>
  <c r="Z30" i="2"/>
  <c r="Z31" i="2" s="1"/>
  <c r="R92" i="2"/>
  <c r="R107" i="2" s="1"/>
  <c r="O30" i="2"/>
  <c r="O31" i="2" s="1"/>
  <c r="S107" i="2"/>
  <c r="E67" i="2"/>
  <c r="F92" i="2"/>
  <c r="B114" i="2" a="1"/>
  <c r="B114" i="2" s="1"/>
  <c r="B115" i="2" a="1"/>
  <c r="B115" i="2" s="1"/>
  <c r="B116" i="2" a="1"/>
  <c r="B116" i="2" s="1"/>
  <c r="B113" i="2" a="1"/>
  <c r="B113" i="2" s="1"/>
  <c r="B110" i="2" a="1"/>
  <c r="B110" i="2" s="1"/>
  <c r="B109" i="2" a="1"/>
  <c r="B109" i="2" s="1"/>
  <c r="B105" i="2" a="1"/>
  <c r="B105" i="2" s="1"/>
  <c r="B102" i="2" a="1"/>
  <c r="B102" i="2" s="1"/>
  <c r="B101" i="2" a="1"/>
  <c r="B101" i="2" s="1"/>
  <c r="B95" i="2" a="1"/>
  <c r="B95" i="2" s="1"/>
  <c r="B96" i="2" a="1"/>
  <c r="B96" i="2" s="1"/>
  <c r="B97" i="2" a="1"/>
  <c r="B97" i="2" s="1"/>
  <c r="B98" i="2" a="1"/>
  <c r="B98" i="2" s="1"/>
  <c r="B99" i="2" a="1"/>
  <c r="B99" i="2" s="1"/>
  <c r="B94" i="2" a="1"/>
  <c r="B94" i="2" s="1"/>
  <c r="B90" i="2" a="1"/>
  <c r="B90" i="2" s="1"/>
  <c r="B91" i="2" a="1"/>
  <c r="B91" i="2" s="1"/>
  <c r="B89" i="2" a="1"/>
  <c r="B89" i="2" s="1"/>
  <c r="B86" i="2" a="1"/>
  <c r="B86" i="2" s="1"/>
  <c r="B87" i="2" a="1"/>
  <c r="B87" i="2" s="1"/>
  <c r="B85" i="2" a="1"/>
  <c r="B85" i="2" s="1"/>
  <c r="B75" i="2" a="1"/>
  <c r="B75" i="2" s="1"/>
  <c r="B76" i="2" a="1"/>
  <c r="B76" i="2" s="1"/>
  <c r="B77" i="2" a="1"/>
  <c r="B77" i="2" s="1"/>
  <c r="B78" i="2" a="1"/>
  <c r="B78" i="2" s="1"/>
  <c r="B79" i="2" a="1"/>
  <c r="B79" i="2" s="1"/>
  <c r="B80" i="2" a="1"/>
  <c r="B80" i="2" s="1"/>
  <c r="B81" i="2" a="1"/>
  <c r="B81" i="2" s="1"/>
  <c r="B82" i="2" a="1"/>
  <c r="B82" i="2" s="1"/>
  <c r="B83" i="2" a="1"/>
  <c r="B83" i="2" s="1"/>
  <c r="B74" i="2" a="1"/>
  <c r="B74" i="2" s="1"/>
  <c r="B70" i="2" a="1"/>
  <c r="B70" i="2" s="1"/>
  <c r="B71" i="2" a="1"/>
  <c r="B71" i="2" s="1"/>
  <c r="B72" i="2" a="1"/>
  <c r="B72" i="2" s="1"/>
  <c r="B69" i="2" a="1"/>
  <c r="B69" i="2" s="1"/>
  <c r="B66" i="2" a="1"/>
  <c r="B66" i="2" s="1"/>
  <c r="B65" i="2" a="1"/>
  <c r="B65" i="2" s="1"/>
  <c r="B58" i="2" a="1"/>
  <c r="B58" i="2" s="1"/>
  <c r="B59" i="2" a="1"/>
  <c r="B59" i="2" s="1"/>
  <c r="B60" i="2" a="1"/>
  <c r="B60" i="2" s="1"/>
  <c r="B61" i="2" a="1"/>
  <c r="B61" i="2" s="1"/>
  <c r="B62" i="2" a="1"/>
  <c r="B62" i="2" s="1"/>
  <c r="B63" i="2" a="1"/>
  <c r="B63" i="2" s="1"/>
  <c r="B57" i="2" a="1"/>
  <c r="B57" i="2" s="1"/>
  <c r="B51" i="2" a="1"/>
  <c r="B51" i="2" s="1"/>
  <c r="B52" i="2" a="1"/>
  <c r="B52" i="2" s="1"/>
  <c r="B53" i="2" a="1"/>
  <c r="B53" i="2" s="1"/>
  <c r="B54" i="2" a="1"/>
  <c r="B54" i="2" s="1"/>
  <c r="B55" i="2" a="1"/>
  <c r="B55" i="2" s="1"/>
  <c r="B50" i="2" a="1"/>
  <c r="B50" i="2" s="1"/>
  <c r="B43" i="2" a="1"/>
  <c r="B43" i="2" s="1"/>
  <c r="B44" i="2" a="1"/>
  <c r="B44" i="2" s="1"/>
  <c r="B45" i="2" a="1"/>
  <c r="B45" i="2" s="1"/>
  <c r="B46" i="2" a="1"/>
  <c r="B46" i="2" s="1"/>
  <c r="B47" i="2" a="1"/>
  <c r="B47" i="2" s="1"/>
  <c r="B42" i="2" a="1"/>
  <c r="B42" i="2" s="1"/>
  <c r="B34" i="2" a="1"/>
  <c r="B34" i="2" s="1"/>
  <c r="B35" i="2" a="1"/>
  <c r="B35" i="2" s="1"/>
  <c r="B36" i="2" a="1"/>
  <c r="B36" i="2" s="1"/>
  <c r="B37" i="2" a="1"/>
  <c r="B37" i="2" s="1"/>
  <c r="B38" i="2" a="1"/>
  <c r="B38" i="2" s="1"/>
  <c r="B39" i="2" a="1"/>
  <c r="B39" i="2" s="1"/>
  <c r="B40" i="2" a="1"/>
  <c r="B40" i="2" s="1"/>
  <c r="B33" i="2" a="1"/>
  <c r="B33" i="2" s="1"/>
  <c r="B27" i="2" a="1"/>
  <c r="B27" i="2" s="1"/>
  <c r="B28" i="2" a="1"/>
  <c r="B28" i="2" s="1"/>
  <c r="B29" i="2" a="1"/>
  <c r="B29" i="2" s="1"/>
  <c r="B26" i="2" a="1"/>
  <c r="B26" i="2" s="1"/>
  <c r="B21" i="2" a="1"/>
  <c r="B21" i="2" s="1"/>
  <c r="B22" i="2" a="1"/>
  <c r="B22" i="2" s="1"/>
  <c r="B23" i="2" a="1"/>
  <c r="B23" i="2" s="1"/>
  <c r="B24" i="2" a="1"/>
  <c r="B24" i="2" s="1"/>
  <c r="B20" i="2" a="1"/>
  <c r="B20" i="2" s="1"/>
  <c r="B18" i="2" a="1"/>
  <c r="B18" i="2" s="1"/>
  <c r="B17" i="2" a="1"/>
  <c r="B17" i="2" s="1"/>
  <c r="B12" i="2" a="1"/>
  <c r="B12" i="2" s="1"/>
  <c r="B13" i="2" a="1"/>
  <c r="B13" i="2" s="1"/>
  <c r="B14" i="2" a="1"/>
  <c r="B14" i="2" s="1"/>
  <c r="B15" i="2" a="1"/>
  <c r="B15" i="2" s="1"/>
  <c r="B11" i="2" a="1"/>
  <c r="B11" i="2" s="1"/>
  <c r="B8" i="2" a="1"/>
  <c r="B8" i="2" s="1"/>
  <c r="B9" i="2" a="1"/>
  <c r="B9" i="2" s="1"/>
  <c r="B7" i="2" a="1"/>
  <c r="B7" i="2" s="1"/>
  <c r="V107" i="2" l="1"/>
  <c r="U107" i="2"/>
  <c r="U108" i="2" s="1"/>
  <c r="U120" i="2" s="1"/>
  <c r="W107" i="2"/>
  <c r="G107" i="2"/>
  <c r="G108" i="2" s="1"/>
  <c r="G120" i="2" s="1"/>
  <c r="C107" i="2"/>
  <c r="X107" i="2"/>
  <c r="X108" i="2" s="1"/>
  <c r="X120" i="2" s="1"/>
  <c r="H107" i="2"/>
  <c r="H108" i="2" s="1"/>
  <c r="H120" i="2" s="1"/>
  <c r="L107" i="2"/>
  <c r="L108" i="2" s="1"/>
  <c r="L120" i="2" s="1"/>
  <c r="D107" i="2"/>
  <c r="D108" i="2" s="1"/>
  <c r="D120" i="2" s="1"/>
  <c r="Q107" i="2"/>
  <c r="Q108" i="2" s="1"/>
  <c r="Q120" i="2" s="1"/>
  <c r="O107" i="2"/>
  <c r="O108" i="2" s="1"/>
  <c r="O120" i="2" s="1"/>
  <c r="Y107" i="2"/>
  <c r="Y108" i="2" s="1"/>
  <c r="Y120" i="2" s="1"/>
  <c r="N108" i="2"/>
  <c r="N120" i="2" s="1"/>
  <c r="Z107" i="2"/>
  <c r="Z108" i="2" s="1"/>
  <c r="Z120" i="2" s="1"/>
  <c r="M107" i="2"/>
  <c r="M108" i="2" s="1"/>
  <c r="M120" i="2" s="1"/>
  <c r="F107" i="2"/>
  <c r="F108" i="2" s="1"/>
  <c r="F120" i="2" s="1"/>
  <c r="E107" i="2"/>
  <c r="R108" i="2"/>
  <c r="R120" i="2" s="1"/>
  <c r="AA108" i="2"/>
  <c r="AA120" i="2" s="1"/>
  <c r="I107" i="2"/>
  <c r="I108" i="2" s="1"/>
  <c r="I120" i="2" s="1"/>
  <c r="T107" i="2"/>
  <c r="T108" i="2" s="1"/>
  <c r="T120" i="2" s="1"/>
  <c r="S108" i="2"/>
  <c r="S120" i="2" s="1"/>
  <c r="J107" i="2"/>
  <c r="J108" i="2" s="1"/>
  <c r="J120" i="2" s="1"/>
  <c r="AC107" i="2"/>
  <c r="AC108" i="2" s="1"/>
  <c r="AC120" i="2" s="1"/>
  <c r="AB108" i="2"/>
  <c r="AB120" i="2" s="1"/>
  <c r="W108" i="2"/>
  <c r="W120" i="2" s="1"/>
  <c r="E108" i="2"/>
  <c r="E120" i="2" s="1"/>
  <c r="V108" i="2"/>
  <c r="V120" i="2" s="1"/>
  <c r="C108" i="2"/>
  <c r="C120" i="2" s="1"/>
  <c r="P107" i="2"/>
  <c r="P108" i="2" s="1"/>
  <c r="P120" i="2" s="1"/>
  <c r="K108" i="2"/>
  <c r="K120" i="2" s="1"/>
  <c r="B16" i="2"/>
  <c r="B19" i="2" s="1"/>
  <c r="AD32" i="2"/>
  <c r="AE32" i="2" s="1"/>
  <c r="AD49" i="2"/>
  <c r="AE49" i="2" s="1"/>
  <c r="AD68" i="2"/>
  <c r="AE68" i="2" s="1"/>
  <c r="AD93" i="2"/>
  <c r="AE93" i="2" s="1"/>
  <c r="AD104" i="2"/>
  <c r="AE104" i="2" s="1"/>
  <c r="AD112" i="2"/>
  <c r="AE112" i="2" s="1"/>
  <c r="B100" i="2"/>
  <c r="AD57" i="2"/>
  <c r="AE57" i="2" s="1"/>
  <c r="B41" i="2"/>
  <c r="AD116" i="2"/>
  <c r="AD115" i="2"/>
  <c r="B117" i="2"/>
  <c r="B111" i="2"/>
  <c r="B106" i="2"/>
  <c r="B103" i="2"/>
  <c r="AD98" i="2"/>
  <c r="AD97" i="2"/>
  <c r="AE97" i="2" s="1"/>
  <c r="AD90" i="2"/>
  <c r="AD89" i="2"/>
  <c r="AD87" i="2"/>
  <c r="AD86" i="2"/>
  <c r="B88" i="2"/>
  <c r="AD83" i="2"/>
  <c r="B84" i="2"/>
  <c r="AD81" i="2"/>
  <c r="AE81" i="2" s="1"/>
  <c r="AD79" i="2"/>
  <c r="AD78" i="2"/>
  <c r="AE78" i="2" s="1"/>
  <c r="AD70" i="2"/>
  <c r="B73" i="2"/>
  <c r="AD60" i="2"/>
  <c r="B64" i="2"/>
  <c r="AD55" i="2"/>
  <c r="AE55" i="2" s="1"/>
  <c r="AD54" i="2"/>
  <c r="AE54" i="2" s="1"/>
  <c r="AD53" i="2"/>
  <c r="AE53" i="2" s="1"/>
  <c r="AD52" i="2"/>
  <c r="AE52" i="2" s="1"/>
  <c r="B56" i="2"/>
  <c r="AD46" i="2"/>
  <c r="AD45" i="2"/>
  <c r="AE45" i="2" s="1"/>
  <c r="AD44" i="2"/>
  <c r="AE44" i="2" s="1"/>
  <c r="AD39" i="2"/>
  <c r="AD35" i="2"/>
  <c r="AD23" i="2"/>
  <c r="B25" i="2"/>
  <c r="AD13" i="2"/>
  <c r="B10" i="2"/>
  <c r="AD14" i="2" l="1"/>
  <c r="AE14" i="2" s="1"/>
  <c r="AD15" i="2"/>
  <c r="AE15" i="2" s="1"/>
  <c r="AD22" i="2"/>
  <c r="AE22" i="2" s="1"/>
  <c r="AD28" i="2"/>
  <c r="AE28" i="2" s="1"/>
  <c r="AD36" i="2"/>
  <c r="AE36" i="2" s="1"/>
  <c r="AD40" i="2"/>
  <c r="AE40" i="2" s="1"/>
  <c r="AD47" i="2"/>
  <c r="AE47" i="2" s="1"/>
  <c r="AD62" i="2"/>
  <c r="AE62" i="2" s="1"/>
  <c r="AD71" i="2"/>
  <c r="AE71" i="2" s="1"/>
  <c r="AD80" i="2"/>
  <c r="AE80" i="2" s="1"/>
  <c r="AD82" i="2"/>
  <c r="AE82" i="2" s="1"/>
  <c r="AD96" i="2"/>
  <c r="AE96" i="2" s="1"/>
  <c r="AD109" i="2"/>
  <c r="AE109" i="2" s="1"/>
  <c r="AE83" i="2"/>
  <c r="AE87" i="2"/>
  <c r="AD91" i="2"/>
  <c r="AD95" i="2"/>
  <c r="AE95" i="2" s="1"/>
  <c r="AD106" i="2"/>
  <c r="AE106" i="2" s="1"/>
  <c r="G60" i="3"/>
  <c r="G67" i="3" s="1"/>
  <c r="AD9" i="2"/>
  <c r="AE9" i="2" s="1"/>
  <c r="AD12" i="2"/>
  <c r="AE12" i="2" s="1"/>
  <c r="AD24" i="2"/>
  <c r="AE24" i="2" s="1"/>
  <c r="AD34" i="2"/>
  <c r="AE34" i="2" s="1"/>
  <c r="AD38" i="2"/>
  <c r="AE38" i="2" s="1"/>
  <c r="AD43" i="2"/>
  <c r="AE43" i="2" s="1"/>
  <c r="AE60" i="2"/>
  <c r="AD77" i="2"/>
  <c r="AE77" i="2" s="1"/>
  <c r="AE86" i="2"/>
  <c r="AE89" i="2"/>
  <c r="AE90" i="2"/>
  <c r="AE98" i="2"/>
  <c r="AE115" i="2"/>
  <c r="G40" i="3"/>
  <c r="AD29" i="2"/>
  <c r="AE29" i="2" s="1"/>
  <c r="AD7" i="2"/>
  <c r="AE7" i="2" s="1"/>
  <c r="AD69" i="2"/>
  <c r="AE69" i="2" s="1"/>
  <c r="AD101" i="2"/>
  <c r="AE101" i="2" s="1"/>
  <c r="AE13" i="2"/>
  <c r="AD21" i="2"/>
  <c r="AE21" i="2" s="1"/>
  <c r="AD26" i="2"/>
  <c r="AE26" i="2" s="1"/>
  <c r="AD27" i="2"/>
  <c r="AE27" i="2" s="1"/>
  <c r="AD33" i="2"/>
  <c r="AE33" i="2" s="1"/>
  <c r="AD37" i="2"/>
  <c r="AE37" i="2" s="1"/>
  <c r="AD42" i="2"/>
  <c r="AE42" i="2" s="1"/>
  <c r="AD63" i="2"/>
  <c r="AE63" i="2" s="1"/>
  <c r="AD72" i="2"/>
  <c r="AE72" i="2" s="1"/>
  <c r="AD76" i="2"/>
  <c r="AE76" i="2" s="1"/>
  <c r="AD85" i="2"/>
  <c r="AE85" i="2" s="1"/>
  <c r="AD99" i="2"/>
  <c r="AE99" i="2" s="1"/>
  <c r="AD102" i="2"/>
  <c r="AE102" i="2" s="1"/>
  <c r="AD111" i="2"/>
  <c r="AE111" i="2" s="1"/>
  <c r="AD56" i="2"/>
  <c r="AE56" i="2" s="1"/>
  <c r="AD51" i="2"/>
  <c r="AE51" i="2" s="1"/>
  <c r="AD8" i="2"/>
  <c r="AE8" i="2" s="1"/>
  <c r="AD18" i="2"/>
  <c r="AE18" i="2" s="1"/>
  <c r="AD20" i="2"/>
  <c r="AE20" i="2" s="1"/>
  <c r="AD50" i="2"/>
  <c r="AE50" i="2" s="1"/>
  <c r="AD65" i="2"/>
  <c r="AE65" i="2" s="1"/>
  <c r="AD66" i="2"/>
  <c r="AE66" i="2" s="1"/>
  <c r="AD75" i="2"/>
  <c r="AE75" i="2" s="1"/>
  <c r="AD11" i="2"/>
  <c r="AE11" i="2" s="1"/>
  <c r="AD17" i="2"/>
  <c r="AE17" i="2" s="1"/>
  <c r="AE23" i="2"/>
  <c r="AE35" i="2"/>
  <c r="AE39" i="2"/>
  <c r="AE46" i="2"/>
  <c r="AD58" i="2"/>
  <c r="AE58" i="2" s="1"/>
  <c r="AD59" i="2"/>
  <c r="AE59" i="2" s="1"/>
  <c r="AD61" i="2"/>
  <c r="AE61" i="2" s="1"/>
  <c r="AE70" i="2"/>
  <c r="AE79" i="2"/>
  <c r="AE91" i="2"/>
  <c r="AD94" i="2"/>
  <c r="AE94" i="2" s="1"/>
  <c r="AD100" i="2"/>
  <c r="AE100" i="2" s="1"/>
  <c r="AD113" i="2"/>
  <c r="AE113" i="2" s="1"/>
  <c r="AD114" i="2"/>
  <c r="AE114" i="2" s="1"/>
  <c r="AE116" i="2"/>
  <c r="AD16" i="2"/>
  <c r="AD74" i="2"/>
  <c r="AE74" i="2" s="1"/>
  <c r="AD110" i="2"/>
  <c r="AE110" i="2" s="1"/>
  <c r="AD105" i="2"/>
  <c r="AE105" i="2" s="1"/>
  <c r="B30" i="2"/>
  <c r="B31" i="2" s="1"/>
  <c r="B92" i="2"/>
  <c r="I186" i="3"/>
  <c r="B67" i="2"/>
  <c r="B48" i="2"/>
  <c r="AD84" i="2"/>
  <c r="AE84" i="2" s="1"/>
  <c r="AD103" i="2"/>
  <c r="AE103" i="2" s="1"/>
  <c r="B118" i="2"/>
  <c r="B119" i="2" s="1"/>
  <c r="AD73" i="2" l="1"/>
  <c r="AE73" i="2" s="1"/>
  <c r="AD117" i="2"/>
  <c r="AE117" i="2" s="1"/>
  <c r="AD88" i="2"/>
  <c r="AE88" i="2" s="1"/>
  <c r="AD48" i="2"/>
  <c r="AE48" i="2" s="1"/>
  <c r="AD25" i="2"/>
  <c r="AE25" i="2" s="1"/>
  <c r="I9" i="3"/>
  <c r="G9" i="3"/>
  <c r="D9" i="5" s="1"/>
  <c r="AD10" i="2"/>
  <c r="AE10" i="2" s="1"/>
  <c r="AE16" i="2"/>
  <c r="AD64" i="2"/>
  <c r="AE64" i="2" s="1"/>
  <c r="K23" i="3"/>
  <c r="AD41" i="2"/>
  <c r="AE41" i="2" s="1"/>
  <c r="I61" i="3"/>
  <c r="K186" i="3"/>
  <c r="B107" i="2"/>
  <c r="B108" i="2" s="1"/>
  <c r="B120" i="2" s="1"/>
  <c r="O186" i="3" l="1"/>
  <c r="O190" i="3"/>
  <c r="K64" i="3"/>
  <c r="O188" i="3"/>
  <c r="K63" i="3"/>
  <c r="O183" i="3"/>
  <c r="K9" i="3"/>
  <c r="K62" i="3"/>
  <c r="AD67" i="2"/>
  <c r="AE67" i="2" s="1"/>
  <c r="AD107" i="2"/>
  <c r="AE107" i="2" s="1"/>
  <c r="AD19" i="2"/>
  <c r="AE19" i="2" s="1"/>
  <c r="AD118" i="2"/>
  <c r="AE118" i="2" s="1"/>
  <c r="AD119" i="2"/>
  <c r="AE119" i="2" s="1"/>
  <c r="AD92" i="2"/>
  <c r="AE92" i="2" s="1"/>
  <c r="O185" i="3" l="1"/>
  <c r="AD30" i="2"/>
  <c r="AE30" i="2" s="1"/>
  <c r="O97" i="3"/>
  <c r="O98" i="3"/>
  <c r="AD31" i="2" l="1"/>
  <c r="AE31" i="2" s="1"/>
  <c r="B56" i="7"/>
  <c r="B47" i="7"/>
  <c r="B48" i="7" s="1"/>
  <c r="B45" i="7"/>
  <c r="G124" i="3" s="1"/>
  <c r="B43" i="7"/>
  <c r="B37" i="7"/>
  <c r="B36" i="7"/>
  <c r="B34" i="7"/>
  <c r="B31" i="7"/>
  <c r="B30" i="7"/>
  <c r="B28" i="7"/>
  <c r="B29" i="7" s="1"/>
  <c r="B32" i="7" s="1"/>
  <c r="D14" i="6" s="1"/>
  <c r="B24" i="7"/>
  <c r="B16" i="7"/>
  <c r="B17" i="7" s="1"/>
  <c r="B38" i="7" l="1"/>
  <c r="B49" i="7"/>
  <c r="G201" i="3" s="1"/>
  <c r="K201" i="3" s="1"/>
  <c r="G121" i="3"/>
  <c r="B25" i="7"/>
  <c r="B39" i="7" s="1"/>
  <c r="AD120" i="2"/>
  <c r="AE120" i="2" s="1"/>
  <c r="AD108" i="2"/>
  <c r="AE108" i="2" s="1"/>
  <c r="B50" i="7" l="1"/>
  <c r="B51" i="7" s="1"/>
  <c r="B52" i="7" s="1"/>
  <c r="E10" i="13"/>
  <c r="U27" i="10" l="1"/>
  <c r="U28" i="10"/>
  <c r="U29" i="10"/>
  <c r="U30" i="10"/>
  <c r="U31" i="10"/>
  <c r="U32" i="10"/>
  <c r="U33" i="10"/>
  <c r="U34" i="10"/>
  <c r="U35" i="10"/>
  <c r="U36" i="10"/>
  <c r="U37" i="10"/>
  <c r="U26" i="10"/>
  <c r="T27" i="10"/>
  <c r="T28" i="10"/>
  <c r="T29" i="10"/>
  <c r="T30" i="10"/>
  <c r="T31" i="10"/>
  <c r="T32" i="10"/>
  <c r="T33" i="10"/>
  <c r="T34" i="10"/>
  <c r="T35" i="10"/>
  <c r="T36" i="10"/>
  <c r="T37" i="10"/>
  <c r="T26" i="10"/>
  <c r="S27" i="10"/>
  <c r="S28" i="10"/>
  <c r="S29" i="10"/>
  <c r="S30" i="10"/>
  <c r="S31" i="10"/>
  <c r="S32" i="10"/>
  <c r="S33" i="10"/>
  <c r="S34" i="10"/>
  <c r="S35" i="10"/>
  <c r="S36" i="10"/>
  <c r="S37" i="10"/>
  <c r="S26" i="10"/>
  <c r="R27" i="10"/>
  <c r="R28" i="10"/>
  <c r="R29" i="10"/>
  <c r="R30" i="10"/>
  <c r="R31" i="10"/>
  <c r="R32" i="10"/>
  <c r="R33" i="10"/>
  <c r="R34" i="10"/>
  <c r="R35" i="10"/>
  <c r="R36" i="10"/>
  <c r="R37" i="10"/>
  <c r="O27" i="10"/>
  <c r="O28" i="10"/>
  <c r="O29" i="10"/>
  <c r="O30" i="10"/>
  <c r="O31" i="10"/>
  <c r="O32" i="10"/>
  <c r="O33" i="10"/>
  <c r="O34" i="10"/>
  <c r="O35" i="10"/>
  <c r="O36" i="10"/>
  <c r="O37" i="10"/>
  <c r="J27" i="10" l="1"/>
  <c r="J28" i="10"/>
  <c r="M28" i="10" s="1"/>
  <c r="J29" i="10"/>
  <c r="M29" i="10" s="1"/>
  <c r="J30" i="10"/>
  <c r="M30" i="10" s="1"/>
  <c r="J31" i="10"/>
  <c r="M31" i="10" s="1"/>
  <c r="J32" i="10"/>
  <c r="M32" i="10" s="1"/>
  <c r="J33" i="10"/>
  <c r="M33" i="10" s="1"/>
  <c r="J34" i="10"/>
  <c r="M34" i="10" s="1"/>
  <c r="J35" i="10"/>
  <c r="M35" i="10" s="1"/>
  <c r="J36" i="10"/>
  <c r="M36" i="10" s="1"/>
  <c r="J37" i="10"/>
  <c r="M37" i="10" s="1"/>
  <c r="P9" i="10"/>
  <c r="D9" i="10" s="1"/>
  <c r="P10" i="10"/>
  <c r="D10" i="10" s="1"/>
  <c r="P11" i="10"/>
  <c r="D11" i="10" s="1"/>
  <c r="P12" i="10"/>
  <c r="D12" i="10" s="1"/>
  <c r="P13" i="10"/>
  <c r="D13" i="10" s="1"/>
  <c r="P14" i="10"/>
  <c r="D14" i="10" s="1"/>
  <c r="P15" i="10"/>
  <c r="D15" i="10" s="1"/>
  <c r="P16" i="10"/>
  <c r="D16" i="10" s="1"/>
  <c r="P17" i="10"/>
  <c r="D17" i="10" s="1"/>
  <c r="P18" i="10"/>
  <c r="D18" i="10" s="1"/>
  <c r="P19" i="10"/>
  <c r="D19" i="10" s="1"/>
  <c r="P8" i="10"/>
  <c r="D8" i="10" s="1"/>
  <c r="M27" i="10" l="1"/>
  <c r="J38" i="10"/>
  <c r="I10" i="15"/>
  <c r="I9" i="15"/>
  <c r="I7" i="15"/>
  <c r="I6" i="15"/>
  <c r="I5" i="15"/>
  <c r="I4" i="15"/>
  <c r="I3" i="15"/>
  <c r="I2" i="15"/>
  <c r="I98" i="3" l="1"/>
  <c r="G92" i="3"/>
  <c r="K59" i="3"/>
  <c r="K51" i="3"/>
  <c r="K26" i="3"/>
  <c r="K12" i="3"/>
  <c r="K11" i="3"/>
  <c r="K14" i="3" s="1"/>
  <c r="K56" i="3" l="1"/>
  <c r="L21" i="6" l="1"/>
  <c r="L17" i="6"/>
  <c r="O38" i="10" l="1"/>
  <c r="T38" i="10"/>
  <c r="T39" i="10" s="1"/>
  <c r="O39" i="10" l="1"/>
  <c r="P35" i="10"/>
  <c r="P36" i="10"/>
  <c r="P37" i="10"/>
  <c r="P27" i="10"/>
  <c r="P28" i="10"/>
  <c r="P29" i="10"/>
  <c r="P30" i="10"/>
  <c r="P31" i="10"/>
  <c r="P32" i="10"/>
  <c r="P33" i="10"/>
  <c r="P34" i="10"/>
  <c r="P38" i="10" l="1"/>
  <c r="P39" i="10" s="1"/>
  <c r="S20" i="10"/>
  <c r="H39" i="10" l="1"/>
  <c r="K98" i="3"/>
  <c r="K100" i="3" s="1"/>
  <c r="G98" i="3"/>
  <c r="Q98" i="3" s="1"/>
  <c r="G97" i="3"/>
  <c r="G103" i="3" s="1"/>
  <c r="O91" i="3"/>
  <c r="K92" i="3"/>
  <c r="K91" i="3"/>
  <c r="K103" i="3" s="1"/>
  <c r="O103" i="3" l="1"/>
  <c r="I189" i="3"/>
  <c r="K61" i="3"/>
  <c r="K189" i="3"/>
  <c r="Q189" i="3" l="1"/>
  <c r="O189" i="3"/>
  <c r="K41" i="3"/>
  <c r="V20" i="10" l="1"/>
  <c r="X32" i="10" l="1"/>
  <c r="W8" i="10"/>
  <c r="E8" i="10" s="1"/>
  <c r="H20" i="5" l="1"/>
  <c r="H18" i="5"/>
  <c r="Q99" i="3" l="1"/>
  <c r="M93" i="3"/>
  <c r="M94" i="3" l="1"/>
  <c r="M105" i="3" s="1"/>
  <c r="O93" i="3" l="1"/>
  <c r="O94" i="3" s="1"/>
  <c r="I91" i="3" l="1"/>
  <c r="Q91" i="3" s="1"/>
  <c r="G93" i="3" l="1"/>
  <c r="I97" i="3"/>
  <c r="Q97" i="3" s="1"/>
  <c r="Q100" i="3" l="1"/>
  <c r="Q103" i="3"/>
  <c r="I103" i="3"/>
  <c r="I93" i="3"/>
  <c r="K93" i="3"/>
  <c r="Q93" i="3" l="1"/>
  <c r="O100" i="3" l="1"/>
  <c r="O105" i="3" s="1"/>
  <c r="D19" i="6" l="1"/>
  <c r="K20" i="10" l="1"/>
  <c r="C19" i="10"/>
  <c r="P20" i="10" l="1"/>
  <c r="U20" i="10" l="1"/>
  <c r="W9" i="10"/>
  <c r="E9" i="10" s="1"/>
  <c r="W10" i="10"/>
  <c r="E10" i="10" s="1"/>
  <c r="W11" i="10"/>
  <c r="W12" i="10"/>
  <c r="W13" i="10"/>
  <c r="W14" i="10"/>
  <c r="W15" i="10"/>
  <c r="W16" i="10"/>
  <c r="W17" i="10"/>
  <c r="W18" i="10"/>
  <c r="W19" i="10"/>
  <c r="E19" i="10" s="1"/>
  <c r="H21" i="5" l="1"/>
  <c r="I40" i="3" l="1"/>
  <c r="K39" i="3" l="1"/>
  <c r="K40" i="3"/>
  <c r="K52" i="3"/>
  <c r="I184" i="3"/>
  <c r="I39" i="10"/>
  <c r="X37" i="10"/>
  <c r="K60" i="3" l="1"/>
  <c r="K25" i="3"/>
  <c r="K29" i="3" s="1"/>
  <c r="K43" i="3"/>
  <c r="K54" i="3"/>
  <c r="G76" i="3"/>
  <c r="M76" i="3" s="1"/>
  <c r="M79" i="3" s="1"/>
  <c r="E17" i="10"/>
  <c r="E16" i="10"/>
  <c r="E14" i="10"/>
  <c r="E13" i="10"/>
  <c r="E12" i="10"/>
  <c r="E11" i="10"/>
  <c r="E15" i="10"/>
  <c r="E18" i="10"/>
  <c r="C9" i="10"/>
  <c r="C10" i="10"/>
  <c r="C11" i="10"/>
  <c r="C12" i="10"/>
  <c r="C13" i="10"/>
  <c r="C14" i="10"/>
  <c r="C15" i="10"/>
  <c r="C16" i="10"/>
  <c r="C17" i="10"/>
  <c r="C18" i="10"/>
  <c r="T20" i="10"/>
  <c r="R20" i="10"/>
  <c r="L20" i="10"/>
  <c r="J20" i="10"/>
  <c r="M20" i="10" s="1"/>
  <c r="U39" i="10"/>
  <c r="O174" i="3"/>
  <c r="O175" i="3"/>
  <c r="J39" i="10" l="1"/>
  <c r="K53" i="3"/>
  <c r="K58" i="3"/>
  <c r="W20" i="10"/>
  <c r="F18" i="10"/>
  <c r="K94" i="3"/>
  <c r="K105" i="3" s="1"/>
  <c r="F8" i="10"/>
  <c r="F15" i="10"/>
  <c r="F14" i="10"/>
  <c r="F19" i="10"/>
  <c r="D20" i="10"/>
  <c r="F17" i="10"/>
  <c r="F10" i="10"/>
  <c r="C20" i="10"/>
  <c r="F9" i="10"/>
  <c r="E20" i="10"/>
  <c r="F13" i="10"/>
  <c r="F16" i="10"/>
  <c r="F12" i="10"/>
  <c r="R38" i="10"/>
  <c r="S38" i="10"/>
  <c r="S39" i="10" s="1"/>
  <c r="F11" i="10"/>
  <c r="I83" i="3"/>
  <c r="F20" i="10" l="1"/>
  <c r="C30" i="10" s="1"/>
  <c r="K42" i="10"/>
  <c r="K43" i="10" s="1"/>
  <c r="R31" i="6" l="1"/>
  <c r="R17" i="6"/>
  <c r="R21" i="6" s="1"/>
  <c r="R23" i="6" s="1"/>
  <c r="B29" i="6"/>
  <c r="B19" i="6"/>
  <c r="B14" i="6"/>
  <c r="B11" i="6"/>
  <c r="F12" i="5"/>
  <c r="H12" i="5" s="1"/>
  <c r="V24" i="5"/>
  <c r="V14" i="5"/>
  <c r="I14" i="3"/>
  <c r="F9" i="5" s="1"/>
  <c r="G14" i="3"/>
  <c r="O180" i="3"/>
  <c r="M177" i="3"/>
  <c r="I100" i="3"/>
  <c r="AA75" i="3"/>
  <c r="AA79" i="3" s="1"/>
  <c r="K75" i="3"/>
  <c r="K79" i="3" s="1"/>
  <c r="I75" i="3"/>
  <c r="I79" i="3" s="1"/>
  <c r="G75" i="3"/>
  <c r="G79" i="3" s="1"/>
  <c r="Y55" i="3"/>
  <c r="Y67" i="3" s="1"/>
  <c r="Y43" i="3"/>
  <c r="A34" i="3"/>
  <c r="A47" i="3" s="1"/>
  <c r="A71" i="3" s="1"/>
  <c r="A86" i="3" s="1"/>
  <c r="Y29" i="3"/>
  <c r="Y14" i="3"/>
  <c r="Y31" i="3" s="1"/>
  <c r="A109" i="3" l="1"/>
  <c r="A118" i="3" s="1"/>
  <c r="A129" i="3" s="1"/>
  <c r="M193" i="3"/>
  <c r="G200" i="3" s="1"/>
  <c r="V26" i="5"/>
  <c r="V30" i="5" s="1"/>
  <c r="G43" i="3"/>
  <c r="A195" i="3"/>
  <c r="F10" i="5"/>
  <c r="I43" i="3"/>
  <c r="F11" i="5" s="1"/>
  <c r="I55" i="3"/>
  <c r="K55" i="3" l="1"/>
  <c r="K67" i="3" s="1"/>
  <c r="I67" i="3"/>
  <c r="I200" i="3"/>
  <c r="F14" i="5"/>
  <c r="D29" i="6"/>
  <c r="F19" i="5"/>
  <c r="D11" i="5"/>
  <c r="H11" i="5" s="1"/>
  <c r="D19" i="5"/>
  <c r="D24" i="5" s="1"/>
  <c r="F24" i="5" l="1"/>
  <c r="F26" i="5" s="1"/>
  <c r="F30" i="5" s="1"/>
  <c r="F36" i="5" s="1"/>
  <c r="H19" i="5"/>
  <c r="H24" i="5" s="1"/>
  <c r="K31" i="3"/>
  <c r="D10" i="5"/>
  <c r="H26" i="5" l="1"/>
  <c r="H30" i="5" s="1"/>
  <c r="H36" i="5" s="1"/>
  <c r="D14" i="5"/>
  <c r="K200" i="3"/>
  <c r="K173" i="3"/>
  <c r="K177" i="3" s="1"/>
  <c r="I173" i="3" l="1"/>
  <c r="I177" i="3" s="1"/>
  <c r="O177" i="3" l="1"/>
  <c r="D28" i="6" s="1"/>
  <c r="D31" i="6" s="1"/>
  <c r="O173" i="3"/>
  <c r="I203" i="3"/>
  <c r="G94" i="3" l="1"/>
  <c r="G100" i="3"/>
  <c r="G105" i="3" l="1"/>
  <c r="I92" i="3"/>
  <c r="X28" i="10"/>
  <c r="X27" i="10"/>
  <c r="X35" i="10"/>
  <c r="X29" i="10"/>
  <c r="X34" i="10"/>
  <c r="X31" i="10"/>
  <c r="X36" i="10"/>
  <c r="X33" i="10"/>
  <c r="M38" i="10"/>
  <c r="X30" i="10"/>
  <c r="I94" i="3" l="1"/>
  <c r="I105" i="3" s="1"/>
  <c r="Q92" i="3"/>
  <c r="Q94" i="3" s="1"/>
  <c r="Q105" i="3" l="1"/>
  <c r="D11" i="6" s="1"/>
  <c r="G203" i="3"/>
  <c r="K199" i="3" l="1"/>
  <c r="K203" i="3" s="1"/>
  <c r="K83" i="3" l="1"/>
  <c r="M83" i="3" s="1"/>
  <c r="X38" i="10" l="1"/>
  <c r="X39" i="10" s="1"/>
  <c r="M39" i="10"/>
  <c r="Y39" i="10"/>
  <c r="Z3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tc={10E50738-19D3-4A1B-B228-C446D9066845}</author>
  </authors>
  <commentList>
    <comment ref="B63" authorId="0" shapeId="0" xr:uid="{10E50738-19D3-4A1B-B228-C446D9066845}">
      <text>
        <t>[Threaded comment]
Your version of Excel allows you to read this threaded comment; however, any edits to it will get removed if the file is opened in a newer version of Excel. Learn more: https://go.microsoft.com/fwlink/?linkid=870924
Comment:
    Slowcooking, HH and Asylum Seekers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<sst xmlns="http://schemas.openxmlformats.org/spreadsheetml/2006/main" count="1137" uniqueCount="633">
  <si>
    <t>theKenilworthCentre</t>
  </si>
  <si>
    <t>Funds Analysis</t>
  </si>
  <si>
    <t>Restricted</t>
  </si>
  <si>
    <t>Unrestricted</t>
  </si>
  <si>
    <t>Restricted Funds</t>
  </si>
  <si>
    <t>Transition</t>
  </si>
  <si>
    <t>Youthwork</t>
  </si>
  <si>
    <t>Detached</t>
  </si>
  <si>
    <t>Total Restricted Funds</t>
  </si>
  <si>
    <t>Unrestricted Funds</t>
  </si>
  <si>
    <t>Radio Abbey</t>
  </si>
  <si>
    <t>Service Contracts</t>
  </si>
  <si>
    <t>TKC Biz</t>
  </si>
  <si>
    <t>Junior Club</t>
  </si>
  <si>
    <t>Senior Club</t>
  </si>
  <si>
    <t>Total Unrestricted Funds</t>
  </si>
  <si>
    <t>TOTAL</t>
  </si>
  <si>
    <t>Income</t>
  </si>
  <si>
    <t xml:space="preserve">   1000 Gifts and Donations</t>
  </si>
  <si>
    <t xml:space="preserve">      1010 Gift-aided donations</t>
  </si>
  <si>
    <t xml:space="preserve">      1020 Non-gift aided donations</t>
  </si>
  <si>
    <t xml:space="preserve">   Total 1000 Gifts and Donations</t>
  </si>
  <si>
    <t xml:space="preserve">   1110 Fundraising events</t>
  </si>
  <si>
    <t xml:space="preserve">   1200 Income from Room Hires and Lettings</t>
  </si>
  <si>
    <t xml:space="preserve">      1210 Licence fee income</t>
  </si>
  <si>
    <t xml:space="preserve">      1220 Regular lettings</t>
  </si>
  <si>
    <t xml:space="preserve">      Total 1220 Regular lettings</t>
  </si>
  <si>
    <t xml:space="preserve">      1240 One-off lettings</t>
  </si>
  <si>
    <t xml:space="preserve">      1250 Catering</t>
  </si>
  <si>
    <t xml:space="preserve">   Total 1200 Income from Room Hires and Lettings</t>
  </si>
  <si>
    <t xml:space="preserve">   1300 Subscriptions</t>
  </si>
  <si>
    <t xml:space="preserve">      1310 Junior Youth Club Subscriptions</t>
  </si>
  <si>
    <t xml:space="preserve">   Total 1300 Subscriptions</t>
  </si>
  <si>
    <t xml:space="preserve">   1400 Grant Income</t>
  </si>
  <si>
    <t xml:space="preserve">   1500 Miscellaneous Income</t>
  </si>
  <si>
    <t xml:space="preserve">   1600 Tuck shop sales</t>
  </si>
  <si>
    <t xml:space="preserve">   1700 Business Sponsorship</t>
  </si>
  <si>
    <t>Total Income</t>
  </si>
  <si>
    <t>Gross Profit</t>
  </si>
  <si>
    <t>Expenses</t>
  </si>
  <si>
    <t xml:space="preserve">   3000 Personnel Costs</t>
  </si>
  <si>
    <t xml:space="preserve">      3010 Salaries - Admin and Management</t>
  </si>
  <si>
    <t xml:space="preserve">      3020 Salaries - Premises</t>
  </si>
  <si>
    <t xml:space="preserve">      3030 Salaries - Youth Workers</t>
  </si>
  <si>
    <t xml:space="preserve">      3040 Contract staff costs</t>
  </si>
  <si>
    <t xml:space="preserve">      3090 Employers National Insurance Contributions</t>
  </si>
  <si>
    <t xml:space="preserve">   Total 3000 Personnel Costs</t>
  </si>
  <si>
    <t xml:space="preserve">   3100 Other staff costs</t>
  </si>
  <si>
    <t xml:space="preserve">      3110 TRavel and subsistence</t>
  </si>
  <si>
    <t xml:space="preserve">      3140 CRB checks</t>
  </si>
  <si>
    <t xml:space="preserve">      3150 Staff refreshments and welfare</t>
  </si>
  <si>
    <t xml:space="preserve">   Total 3100 Other staff costs</t>
  </si>
  <si>
    <t xml:space="preserve">   4000 Premises Costs</t>
  </si>
  <si>
    <t xml:space="preserve">      4020 Rates</t>
  </si>
  <si>
    <t xml:space="preserve">      4100 Utilities</t>
  </si>
  <si>
    <t xml:space="preserve">         4110 Gas</t>
  </si>
  <si>
    <t xml:space="preserve">         4120 Electricity</t>
  </si>
  <si>
    <t xml:space="preserve">         4130 Water</t>
  </si>
  <si>
    <t xml:space="preserve">         4140 Refuse collection and Waste Disposal</t>
  </si>
  <si>
    <t xml:space="preserve">      Total 4100 Utilities</t>
  </si>
  <si>
    <t xml:space="preserve">      4200 Buildings Insurance</t>
  </si>
  <si>
    <t xml:space="preserve">      4400 Property Repairs and Maintenance</t>
  </si>
  <si>
    <t xml:space="preserve">         4410 Maintenance Contracts</t>
  </si>
  <si>
    <t xml:space="preserve">         4420 Call out charges on maintenance contract</t>
  </si>
  <si>
    <t xml:space="preserve">         4440 Building maintenance and improvement</t>
  </si>
  <si>
    <t xml:space="preserve">      Total 4400 Property Repairs and Maintenance</t>
  </si>
  <si>
    <t xml:space="preserve">      4500 Cleaning Materials</t>
  </si>
  <si>
    <t xml:space="preserve">   Total 4000 Premises Costs</t>
  </si>
  <si>
    <t xml:space="preserve">   5000 Equipment costs</t>
  </si>
  <si>
    <t xml:space="preserve">      5010 Equipment maintenance and repairs</t>
  </si>
  <si>
    <t xml:space="preserve">      5020 IT equipment expensed</t>
  </si>
  <si>
    <t xml:space="preserve">      5040 Other Small Tools and Equipment</t>
  </si>
  <si>
    <t xml:space="preserve">   Total 5000 Equipment costs</t>
  </si>
  <si>
    <t xml:space="preserve">   6000 Administration Costs</t>
  </si>
  <si>
    <t xml:space="preserve">      6010 Telephones and Broadband</t>
  </si>
  <si>
    <t xml:space="preserve">      6030 Office Supplies and Stationery</t>
  </si>
  <si>
    <t xml:space="preserve">      6040 Postage and Delivery</t>
  </si>
  <si>
    <t xml:space="preserve">      6050 IT Licences</t>
  </si>
  <si>
    <t xml:space="preserve">      6060 Other Licences</t>
  </si>
  <si>
    <t xml:space="preserve">      6070 Dues and Subscriptions</t>
  </si>
  <si>
    <t xml:space="preserve">      6300 Bought-in Admin Services</t>
  </si>
  <si>
    <t xml:space="preserve">      6500 Legal and Professional Fees</t>
  </si>
  <si>
    <t xml:space="preserve">         6520 Other Professional Fees</t>
  </si>
  <si>
    <t xml:space="preserve">      Total 6500 Legal and Professional Fees</t>
  </si>
  <si>
    <t xml:space="preserve">      6600 Advertising/Promotional</t>
  </si>
  <si>
    <t xml:space="preserve">         6620 General Advertising/Promotional</t>
  </si>
  <si>
    <t xml:space="preserve">      Total 6600 Advertising/Promotional</t>
  </si>
  <si>
    <t xml:space="preserve">      6900 Bank charges</t>
  </si>
  <si>
    <t xml:space="preserve">      6999 Office/General Administrative Expenses</t>
  </si>
  <si>
    <t xml:space="preserve">   Total 6000 Administration Costs</t>
  </si>
  <si>
    <t xml:space="preserve">   7000 Youthwork Costs</t>
  </si>
  <si>
    <t xml:space="preserve">      7010 Youthwork materials and consumables</t>
  </si>
  <si>
    <t xml:space="preserve">      7030 Youthwork trips and outings</t>
  </si>
  <si>
    <t xml:space="preserve">      7040 Tuck shop expenses</t>
  </si>
  <si>
    <t xml:space="preserve">   Total 7000 Youthwork Costs</t>
  </si>
  <si>
    <t xml:space="preserve">   8000 Governance Costs</t>
  </si>
  <si>
    <t xml:space="preserve">      8010 Audit fees</t>
  </si>
  <si>
    <t xml:space="preserve">   Total 8000 Governance Costs</t>
  </si>
  <si>
    <t>Total Expenses</t>
  </si>
  <si>
    <t>Net Operating Income</t>
  </si>
  <si>
    <t>Other Income</t>
  </si>
  <si>
    <t xml:space="preserve">   1900 Interest Income</t>
  </si>
  <si>
    <t>Total Other Income</t>
  </si>
  <si>
    <t>Net Other Income</t>
  </si>
  <si>
    <t>Net Income</t>
  </si>
  <si>
    <t>TheKenilworthCentre</t>
  </si>
  <si>
    <t>Notes to the Accounts</t>
  </si>
  <si>
    <t>Donations</t>
  </si>
  <si>
    <t>Total</t>
  </si>
  <si>
    <t>Funds</t>
  </si>
  <si>
    <t>General Grants</t>
  </si>
  <si>
    <t>Gifts-in-Kind</t>
  </si>
  <si>
    <t>Income from charitable activities</t>
  </si>
  <si>
    <t>Lettings and License Fees</t>
  </si>
  <si>
    <t>Grants and Awards</t>
  </si>
  <si>
    <t>Subscriptions and attendance fees</t>
  </si>
  <si>
    <t>Contract for Provision of Youth Activities</t>
  </si>
  <si>
    <t>Other</t>
  </si>
  <si>
    <t>Income From Other Trading Activities</t>
  </si>
  <si>
    <t>Fundraising Events</t>
  </si>
  <si>
    <t>Business Sponsorship</t>
  </si>
  <si>
    <t>Contract for Provision of Administative Support</t>
  </si>
  <si>
    <t>Expenditure on Charitable Activities</t>
  </si>
  <si>
    <t>Provision of Community Facilities and Management</t>
  </si>
  <si>
    <t>Direct Costs of Lettings</t>
  </si>
  <si>
    <t>Staff Costs</t>
  </si>
  <si>
    <t>Property and Equipment Costs</t>
  </si>
  <si>
    <t>Administrative Costs</t>
  </si>
  <si>
    <t>Costs of Providing Contracts</t>
  </si>
  <si>
    <t>Governance Costs</t>
  </si>
  <si>
    <t>Staff Emoluments</t>
  </si>
  <si>
    <t>Admin &amp; Mgt</t>
  </si>
  <si>
    <t>Caretaking</t>
  </si>
  <si>
    <t>Youth &amp; Comm Projects</t>
  </si>
  <si>
    <t>Wages and Salaries</t>
  </si>
  <si>
    <t>Employers NI</t>
  </si>
  <si>
    <t>Contract staff costs</t>
  </si>
  <si>
    <t>Redundancy Costs</t>
  </si>
  <si>
    <t>Average Headcount</t>
  </si>
  <si>
    <t>Full time</t>
  </si>
  <si>
    <t>Part Time</t>
  </si>
  <si>
    <t>Full time Equivalent Headcount</t>
  </si>
  <si>
    <t>Tangible Fixed Assets</t>
  </si>
  <si>
    <t>Fixtures &amp; Fittings</t>
  </si>
  <si>
    <t>Equipment</t>
  </si>
  <si>
    <t>£</t>
  </si>
  <si>
    <t xml:space="preserve">Cost </t>
  </si>
  <si>
    <t>Additions during year</t>
  </si>
  <si>
    <t>Disposals</t>
  </si>
  <si>
    <t>Accumulated Depreciation</t>
  </si>
  <si>
    <t>Charge for the period</t>
  </si>
  <si>
    <t>Debtors and Prepayments</t>
  </si>
  <si>
    <t>Lettings income receivable</t>
  </si>
  <si>
    <t>Prepayments</t>
  </si>
  <si>
    <r>
      <rPr>
        <b/>
        <sz val="10"/>
        <rFont val="Arial"/>
        <family val="2"/>
      </rPr>
      <t>Creditors</t>
    </r>
    <r>
      <rPr>
        <sz val="10"/>
        <rFont val="Arial"/>
        <family val="2"/>
      </rPr>
      <t>: amounts falling due within one year</t>
    </r>
  </si>
  <si>
    <t>Trade Creditors</t>
  </si>
  <si>
    <t>Provisions and Accruals</t>
  </si>
  <si>
    <t>Contract Payments on Account</t>
  </si>
  <si>
    <t>Tax and National Insurance payable</t>
  </si>
  <si>
    <t>Provision for Lift Replacement</t>
  </si>
  <si>
    <t>Charge in Year</t>
  </si>
  <si>
    <t>Summary of Fund Movement</t>
  </si>
  <si>
    <t>The Income funds of the charity include restricted funds comprising the following unexpended balances</t>
  </si>
  <si>
    <t>of donations and grants held on trust for specific purposes.</t>
  </si>
  <si>
    <t>Fund Balances b/f</t>
  </si>
  <si>
    <t>Expenditure</t>
  </si>
  <si>
    <t>Transfers</t>
  </si>
  <si>
    <t>Fund Balances c/f</t>
  </si>
  <si>
    <t>General</t>
  </si>
  <si>
    <t>Dilapidations</t>
  </si>
  <si>
    <t>Development</t>
  </si>
  <si>
    <t>Total unrestricted</t>
  </si>
  <si>
    <t>Transition funding</t>
  </si>
  <si>
    <t>Youth and Community Projects</t>
  </si>
  <si>
    <t>Building Project</t>
  </si>
  <si>
    <t>Total Restricted</t>
  </si>
  <si>
    <t>Analysis of net assets between funds</t>
  </si>
  <si>
    <t>Current Assets</t>
  </si>
  <si>
    <t>Creditors: amounts falling due within one year</t>
  </si>
  <si>
    <t>Statement of Financial Activities including Income And Expenditure Account</t>
  </si>
  <si>
    <t>Notes</t>
  </si>
  <si>
    <t>2015-16</t>
  </si>
  <si>
    <t>Charitable Activities</t>
  </si>
  <si>
    <t>Other Trading Activities</t>
  </si>
  <si>
    <t>Interest Income</t>
  </si>
  <si>
    <t>Gross Income for the Reporting Period</t>
  </si>
  <si>
    <t>Raising Funds</t>
  </si>
  <si>
    <t>Depreciation of Fixed Assets</t>
  </si>
  <si>
    <t>Total Expenditure for the Reporting Period</t>
  </si>
  <si>
    <t>Net Income (expenditure) for the Financial Year</t>
  </si>
  <si>
    <t>Transfers Between Funds</t>
  </si>
  <si>
    <t>Net Movement In Funds</t>
  </si>
  <si>
    <t>Reconciliation of Funds</t>
  </si>
  <si>
    <t>2016-17</t>
  </si>
  <si>
    <t>Fixed Assets</t>
  </si>
  <si>
    <t>Tangible Assets</t>
  </si>
  <si>
    <t>Debtors and prepayments</t>
  </si>
  <si>
    <t>Cash at Bank and In Hand</t>
  </si>
  <si>
    <t>Net Current Assets</t>
  </si>
  <si>
    <t>Total Assets less Current Liabilities</t>
  </si>
  <si>
    <t>Income Funds</t>
  </si>
  <si>
    <t>Unrestricted funds</t>
  </si>
  <si>
    <t>Restricted funds</t>
  </si>
  <si>
    <t>Balance Sheet</t>
  </si>
  <si>
    <t>Fixed Asset</t>
  </si>
  <si>
    <t xml:space="preserve">   Tangible assets</t>
  </si>
  <si>
    <t xml:space="preserve">      0020 Leasehold Improvements</t>
  </si>
  <si>
    <t xml:space="preserve">      0030 Fixtures and Fittings</t>
  </si>
  <si>
    <t xml:space="preserve">      0050 Equipment</t>
  </si>
  <si>
    <t xml:space="preserve">      0110 Accumulated Depreciation</t>
  </si>
  <si>
    <t xml:space="preserve">      0120 Acumulated Depreciation on Equipment</t>
  </si>
  <si>
    <t xml:space="preserve">   Total Tangible assets</t>
  </si>
  <si>
    <t>Total Fixed Asset</t>
  </si>
  <si>
    <t>Cash at bank and in hand</t>
  </si>
  <si>
    <t xml:space="preserve">   0300 Cash at Bank and in Hand</t>
  </si>
  <si>
    <t xml:space="preserve">      0310 No. 1 Account</t>
  </si>
  <si>
    <t xml:space="preserve">      0320 Expenses Account</t>
  </si>
  <si>
    <t xml:space="preserve">      0330 Savings</t>
  </si>
  <si>
    <t xml:space="preserve">      0340 Petty Cash</t>
  </si>
  <si>
    <t xml:space="preserve">   Total 0300 Cash at Bank and in Hand</t>
  </si>
  <si>
    <t>Total Cash at bank and in hand</t>
  </si>
  <si>
    <t>Debtors</t>
  </si>
  <si>
    <t xml:space="preserve">   0210 Lettings Receivables</t>
  </si>
  <si>
    <t xml:space="preserve">      0211 Provision for Bad Debts</t>
  </si>
  <si>
    <t xml:space="preserve">   Total 0210 Lettings Receivables</t>
  </si>
  <si>
    <t xml:space="preserve">   0220 Grants Receivable</t>
  </si>
  <si>
    <t>Total Debtors</t>
  </si>
  <si>
    <t xml:space="preserve">   0215 Undeposited Funds</t>
  </si>
  <si>
    <t xml:space="preserve">   0230 Prepayments</t>
  </si>
  <si>
    <t xml:space="preserve">   0240 Supplier deposits</t>
  </si>
  <si>
    <t xml:space="preserve">   0290 Allowance for bad debts</t>
  </si>
  <si>
    <t>Total Current Assets</t>
  </si>
  <si>
    <t>Net current assets</t>
  </si>
  <si>
    <t xml:space="preserve">   Trade Creditors</t>
  </si>
  <si>
    <t xml:space="preserve">      0410 Creditors</t>
  </si>
  <si>
    <t xml:space="preserve">   Total Trade Creditors</t>
  </si>
  <si>
    <t xml:space="preserve">   Current Liabilities</t>
  </si>
  <si>
    <t xml:space="preserve">      0420 Tax and National Insurance payable</t>
  </si>
  <si>
    <t xml:space="preserve">      0430 Accruals</t>
  </si>
  <si>
    <t xml:space="preserve">      0450 Customer Deposits and Defered Income</t>
  </si>
  <si>
    <t xml:space="preserve">   Total Current Liabilities</t>
  </si>
  <si>
    <t>Total Creditors: amounts falling due within one year</t>
  </si>
  <si>
    <t>Net current assets (liabilities)</t>
  </si>
  <si>
    <t>Total assets less current liabilities</t>
  </si>
  <si>
    <t>Total net assets (liabilities)</t>
  </si>
  <si>
    <t>Capital and Reserves</t>
  </si>
  <si>
    <t xml:space="preserve">   0910 Retained Earnings</t>
  </si>
  <si>
    <t xml:space="preserve">   Profit for the year</t>
  </si>
  <si>
    <t>Total Capital and Reserves</t>
  </si>
  <si>
    <t>the Kenilworth Centre</t>
  </si>
  <si>
    <t>Asset Register</t>
  </si>
  <si>
    <t xml:space="preserve">Year Ended </t>
  </si>
  <si>
    <t>Fixed Asset Analysis</t>
  </si>
  <si>
    <t>Cost</t>
  </si>
  <si>
    <t>Fixtures and Fittings</t>
  </si>
  <si>
    <t>NBV</t>
  </si>
  <si>
    <t>Location</t>
  </si>
  <si>
    <t>Asset Type</t>
  </si>
  <si>
    <t>Class</t>
  </si>
  <si>
    <t>Acquired from / Supplier</t>
  </si>
  <si>
    <t>Date of Acquisition</t>
  </si>
  <si>
    <t>Number of items</t>
  </si>
  <si>
    <t>Lifetime</t>
  </si>
  <si>
    <t>Financial Period of Acqn</t>
  </si>
  <si>
    <t>Current financial Period</t>
  </si>
  <si>
    <t>Periods since Acquisition</t>
  </si>
  <si>
    <t>Opening cost</t>
  </si>
  <si>
    <t>Acquisitions</t>
  </si>
  <si>
    <t>Closing Cost</t>
  </si>
  <si>
    <t>Opening Accum Depn</t>
  </si>
  <si>
    <t>Depreciation charge</t>
  </si>
  <si>
    <t>Closing Accum Depn</t>
  </si>
  <si>
    <t>Opening NBV</t>
  </si>
  <si>
    <t>Closing NBV</t>
  </si>
  <si>
    <t>Behringer PA speakers</t>
  </si>
  <si>
    <t>Chill out room</t>
  </si>
  <si>
    <t>Technical Equip</t>
  </si>
  <si>
    <t>U - P&amp;G</t>
  </si>
  <si>
    <t>WCC</t>
  </si>
  <si>
    <t>EuropowerPMH5000 mixing desk</t>
  </si>
  <si>
    <t>CanonDVcamcorder</t>
  </si>
  <si>
    <t>Epsom projector</t>
  </si>
  <si>
    <t>Cinema Room</t>
  </si>
  <si>
    <t>IMAC 24” computer</t>
  </si>
  <si>
    <t>Decks Area</t>
  </si>
  <si>
    <t>Airmate mixing desk  (radio)</t>
  </si>
  <si>
    <t>Motu 2408 mark 3</t>
  </si>
  <si>
    <t>Photopcopier estudio281c</t>
  </si>
  <si>
    <t>Office</t>
  </si>
  <si>
    <t>CCTV Monitor and Control box</t>
  </si>
  <si>
    <t>Sony DV camera</t>
  </si>
  <si>
    <t>Pool tables</t>
  </si>
  <si>
    <t>Youth Room</t>
  </si>
  <si>
    <t>Youth Equipment</t>
  </si>
  <si>
    <t>Total Equipment</t>
  </si>
  <si>
    <t>16 channel DVR's (howareyougroup.co.uk)</t>
  </si>
  <si>
    <t>HRU Group</t>
  </si>
  <si>
    <t>Outside soft play matting</t>
  </si>
  <si>
    <t>Outside</t>
  </si>
  <si>
    <t>Partitions (WEAVE)</t>
  </si>
  <si>
    <t>Youth Room office</t>
  </si>
  <si>
    <t>DEQ Interiors</t>
  </si>
  <si>
    <t>Shelving (WEAVE)</t>
  </si>
  <si>
    <t>Heating Works (WEAVE)</t>
  </si>
  <si>
    <t>HRU</t>
  </si>
  <si>
    <t>Electrical Works (WEAVE)</t>
  </si>
  <si>
    <t>Shed (WEAVE)</t>
  </si>
  <si>
    <t>Sheds First + Rock Solid Concrete</t>
  </si>
  <si>
    <t>Notice board</t>
  </si>
  <si>
    <t>R - Trans</t>
  </si>
  <si>
    <t>Carpet</t>
  </si>
  <si>
    <t>East Entrance</t>
  </si>
  <si>
    <t>R - P&amp;G</t>
  </si>
  <si>
    <t>Sagars</t>
  </si>
  <si>
    <t>Total Fixtures and Fittings</t>
  </si>
  <si>
    <t>Building Works</t>
  </si>
  <si>
    <t>Leasehold Improvements</t>
  </si>
  <si>
    <t>Newdigate</t>
  </si>
  <si>
    <t>Electrical Works</t>
  </si>
  <si>
    <t>Total Leasehold Improvements</t>
  </si>
  <si>
    <t>Total Fixed Assets</t>
  </si>
  <si>
    <t>Depreciation Posting Summary</t>
  </si>
  <si>
    <t>Account</t>
  </si>
  <si>
    <t>Dr</t>
  </si>
  <si>
    <t>Cr</t>
  </si>
  <si>
    <t>0110 Accum Depn on Leasehold Improvements</t>
  </si>
  <si>
    <t>9910 Depn on Leasehold Improvements</t>
  </si>
  <si>
    <t>0110 Accum Depn on F&amp;F</t>
  </si>
  <si>
    <t>U -P&amp;G</t>
  </si>
  <si>
    <t>0120 Accum Depn on Equipment</t>
  </si>
  <si>
    <t>9920 Depn on F&amp;F and Equipment</t>
  </si>
  <si>
    <t>R - Transition</t>
  </si>
  <si>
    <t>Leesehold improvements</t>
  </si>
  <si>
    <t>Admin and Management</t>
  </si>
  <si>
    <t>Youth and Community Work</t>
  </si>
  <si>
    <t>Employers NI Analysis</t>
  </si>
  <si>
    <t>Mgmt &amp; Admin</t>
  </si>
  <si>
    <t>No. Employees</t>
  </si>
  <si>
    <t>No Employees</t>
  </si>
  <si>
    <t>Rai Munjit</t>
  </si>
  <si>
    <t>Sam Metcalfe</t>
  </si>
  <si>
    <t>Per Payroll reports for</t>
  </si>
  <si>
    <t xml:space="preserve">Month </t>
  </si>
  <si>
    <t>Hours</t>
  </si>
  <si>
    <t>Hours pa</t>
  </si>
  <si>
    <t>FTE Headcount</t>
  </si>
  <si>
    <t>Less:</t>
  </si>
  <si>
    <t>Employment relief</t>
  </si>
  <si>
    <t>Tax period 1 - 3</t>
  </si>
  <si>
    <t>Tax period 4 - 6</t>
  </si>
  <si>
    <t>Tax period 7 - 9</t>
  </si>
  <si>
    <t>Net NI paid</t>
  </si>
  <si>
    <t>Ers NI</t>
  </si>
  <si>
    <t>Louise Male</t>
  </si>
  <si>
    <t>Contract hrs/week</t>
  </si>
  <si>
    <t>Hours worked - contractual fixed or from payroll report</t>
  </si>
  <si>
    <t>4 Internal dome CCTV</t>
  </si>
  <si>
    <t>Centre</t>
  </si>
  <si>
    <t xml:space="preserve">Supply and installation of new CCTV recorder </t>
  </si>
  <si>
    <t>0120 Accum Depn on F&amp;F</t>
  </si>
  <si>
    <t>Projects</t>
  </si>
  <si>
    <t xml:space="preserve">      3091 Pension Costs - EE</t>
  </si>
  <si>
    <t xml:space="preserve">      3092 Pension Costs - ER</t>
  </si>
  <si>
    <t xml:space="preserve">      3120 Staff Training</t>
  </si>
  <si>
    <t xml:space="preserve">      3130 Staff recruitment</t>
  </si>
  <si>
    <t xml:space="preserve">      5300 Equipment Rental</t>
  </si>
  <si>
    <t>Accruals</t>
  </si>
  <si>
    <t>.</t>
  </si>
  <si>
    <t>2017-18</t>
  </si>
  <si>
    <t>Other Expenses</t>
  </si>
  <si>
    <t xml:space="preserve">   9100 Management recharges</t>
  </si>
  <si>
    <t xml:space="preserve">   9900 Amortisation and Depreciation</t>
  </si>
  <si>
    <t xml:space="preserve">      9910 Depreciation on Leasehold Buildings</t>
  </si>
  <si>
    <t xml:space="preserve">      9920 Depreciation on F&amp;F, Furniture and Equipment</t>
  </si>
  <si>
    <t xml:space="preserve">   Total 9900 Amortisation and Depreciation</t>
  </si>
  <si>
    <t>Total Other Expenses</t>
  </si>
  <si>
    <t>Thursday, Apr 26, 2018 10:15:58 AM GMT+1 - Accrual Basis</t>
  </si>
  <si>
    <t>Pension Costs</t>
  </si>
  <si>
    <t>Michaela Anderson</t>
  </si>
  <si>
    <t>Holly Hewitt</t>
  </si>
  <si>
    <t>Andrea Kinsey</t>
  </si>
  <si>
    <t xml:space="preserve">      0040 Furniture</t>
  </si>
  <si>
    <t xml:space="preserve">      0060 Computers</t>
  </si>
  <si>
    <t>3 x windows 7 desktop</t>
  </si>
  <si>
    <t>GreenGeek (one of purchase)</t>
  </si>
  <si>
    <t>2x Eco hand dryer</t>
  </si>
  <si>
    <t>Bathrooms</t>
  </si>
  <si>
    <t>Heat Outdoors (one of purchase</t>
  </si>
  <si>
    <t>23.08.19</t>
  </si>
  <si>
    <t>32 x Fully upholstered folding chair - blue fabric</t>
  </si>
  <si>
    <t>Morleys</t>
  </si>
  <si>
    <t>Reliance Medical Evacuation Chair</t>
  </si>
  <si>
    <t>Hall</t>
  </si>
  <si>
    <t xml:space="preserve">Upstairs Hall </t>
  </si>
  <si>
    <t xml:space="preserve">0050 Equipment </t>
  </si>
  <si>
    <t xml:space="preserve">Item </t>
  </si>
  <si>
    <t>Total Computers</t>
  </si>
  <si>
    <t>0030 Fixtures and Fittings</t>
  </si>
  <si>
    <t>0040 Furniture</t>
  </si>
  <si>
    <t>Total Furniture</t>
  </si>
  <si>
    <t>0020 Leasehold Improvements</t>
  </si>
  <si>
    <t>0060 Computers</t>
  </si>
  <si>
    <t>0110 Accum Depn on Computers</t>
  </si>
  <si>
    <t>0110 Accum Depn on Furniture</t>
  </si>
  <si>
    <t>0120</t>
  </si>
  <si>
    <t>0110</t>
  </si>
  <si>
    <t>Furniture</t>
  </si>
  <si>
    <t>Computers</t>
  </si>
  <si>
    <t>2018-19</t>
  </si>
  <si>
    <t xml:space="preserve">inv. No. </t>
  </si>
  <si>
    <t>Other Income receivable</t>
  </si>
  <si>
    <t>Provision for Heating &amp; Cooling Replacement</t>
  </si>
  <si>
    <t>Audit Fees</t>
  </si>
  <si>
    <t>Exterior tKC signs x 2</t>
  </si>
  <si>
    <t>Warwick Signs - the signmaker</t>
  </si>
  <si>
    <t>2019-20</t>
  </si>
  <si>
    <t>COVID-19</t>
  </si>
  <si>
    <t>Fundraising</t>
  </si>
  <si>
    <t xml:space="preserve">      4600 Decorating</t>
  </si>
  <si>
    <t>Wellbeing Hub</t>
  </si>
  <si>
    <t xml:space="preserve">         4490 Provision for Repairs and renewals</t>
  </si>
  <si>
    <t>Hallmaster</t>
  </si>
  <si>
    <t>Single venue licence 1 Year</t>
  </si>
  <si>
    <t>Towergate - Ecclesiastical Insurance</t>
  </si>
  <si>
    <t>Midland Lift Services</t>
  </si>
  <si>
    <t>Provision for the Front doors replacement</t>
  </si>
  <si>
    <t>2020-21</t>
  </si>
  <si>
    <t>Bump2baby Reality</t>
  </si>
  <si>
    <t>Hugoton Hosting</t>
  </si>
  <si>
    <t>ILEAP</t>
  </si>
  <si>
    <t>Single hires</t>
  </si>
  <si>
    <t>Walking for Health</t>
  </si>
  <si>
    <t>Weight Watchers</t>
  </si>
  <si>
    <t>Sam</t>
  </si>
  <si>
    <t>Andrea</t>
  </si>
  <si>
    <t>Louise</t>
  </si>
  <si>
    <t>Munj</t>
  </si>
  <si>
    <t>Holly</t>
  </si>
  <si>
    <t>Michaela</t>
  </si>
  <si>
    <t>Elizabeth</t>
  </si>
  <si>
    <t>Holly Nov &amp; Dec</t>
  </si>
  <si>
    <t>P&amp;G</t>
  </si>
  <si>
    <t>Youthclub</t>
  </si>
  <si>
    <t>Mentoring</t>
  </si>
  <si>
    <t>Elizabeth Zeen</t>
  </si>
  <si>
    <t>Invoice total</t>
  </si>
  <si>
    <t xml:space="preserve">Mainstream digital </t>
  </si>
  <si>
    <t>Effective 01/04/22</t>
  </si>
  <si>
    <t>Microsoft</t>
  </si>
  <si>
    <t>Kaspersky</t>
  </si>
  <si>
    <t>Carbonite</t>
  </si>
  <si>
    <t xml:space="preserve">Local Giving </t>
  </si>
  <si>
    <t>DDMIX</t>
  </si>
  <si>
    <t>Kenilworth Women's Institute</t>
  </si>
  <si>
    <t>KU3A Art Appreciation</t>
  </si>
  <si>
    <t xml:space="preserve"> Funds Analysis Report</t>
  </si>
  <si>
    <t>Asylum Seekers</t>
  </si>
  <si>
    <t>Community garden project</t>
  </si>
  <si>
    <t>Development Project - Post Covid Fund</t>
  </si>
  <si>
    <t>Handmade and Homegrown event</t>
  </si>
  <si>
    <t>Slow cooking</t>
  </si>
  <si>
    <t>Total Property and General</t>
  </si>
  <si>
    <t>Garden Playgroup</t>
  </si>
  <si>
    <t xml:space="preserve">      1320 Senior Club Subscriptions</t>
  </si>
  <si>
    <t xml:space="preserve">      1340 Garden playground subscription</t>
  </si>
  <si>
    <t xml:space="preserve">      1350 Youthwork project subs</t>
  </si>
  <si>
    <t xml:space="preserve">         4430 Grounds Maintenance and Gardening</t>
  </si>
  <si>
    <t xml:space="preserve">         6610 Fund Raising Costs</t>
  </si>
  <si>
    <t xml:space="preserve">      7020 Youthwork bought-in services</t>
  </si>
  <si>
    <t xml:space="preserve">      7050 Garden playground material/consumables and services</t>
  </si>
  <si>
    <t xml:space="preserve">      7060 Wellbeing project material/consumables and services</t>
  </si>
  <si>
    <t xml:space="preserve">   7500 Project Costs</t>
  </si>
  <si>
    <t xml:space="preserve">      7520 Project materials</t>
  </si>
  <si>
    <t xml:space="preserve">   Total 7500 Project Costs</t>
  </si>
  <si>
    <t>April21  to March 22</t>
  </si>
  <si>
    <t>*0030</t>
  </si>
  <si>
    <t>*0060</t>
  </si>
  <si>
    <t>*0040</t>
  </si>
  <si>
    <t>*0050</t>
  </si>
  <si>
    <t xml:space="preserve">      0010 Leasehold Buildings</t>
  </si>
  <si>
    <t xml:space="preserve">   2095 Other debtors</t>
  </si>
  <si>
    <t>Thursday, Jun 09, 2022 01:18:12 pm GMT+1 - Accrual Basis</t>
  </si>
  <si>
    <t>2021-22</t>
  </si>
  <si>
    <t xml:space="preserve">      6950 Bad debts</t>
  </si>
  <si>
    <t>NBV at 31 Mar 2022</t>
  </si>
  <si>
    <t>Total Youthwork U</t>
  </si>
  <si>
    <t>Total Youthwork R</t>
  </si>
  <si>
    <t>Property and General U</t>
  </si>
  <si>
    <t>Property and General R</t>
  </si>
  <si>
    <t>Community Garden Project (Greenshoots)</t>
  </si>
  <si>
    <t>Garden Playground</t>
  </si>
  <si>
    <t>Community Garden project (Greenshoots)</t>
  </si>
  <si>
    <t>Provision at 1 April 2021</t>
  </si>
  <si>
    <t>Provision at 31 March 2022</t>
  </si>
  <si>
    <t>Provision for Opus query</t>
  </si>
  <si>
    <t>Radio Abbey:</t>
  </si>
  <si>
    <t>Youthwork:</t>
  </si>
  <si>
    <t>P&amp;G Projects (HH and Slowcooking, old Accrual correction))</t>
  </si>
  <si>
    <t>Garden Furniture, picnic table and benches</t>
  </si>
  <si>
    <t>British Recycled plastic /one off</t>
  </si>
  <si>
    <t>123 Reg</t>
  </si>
  <si>
    <t>July 22 - July 24</t>
  </si>
  <si>
    <t>Coventry boys and girls club</t>
  </si>
  <si>
    <t>062/23</t>
  </si>
  <si>
    <t>HM-4604</t>
  </si>
  <si>
    <t xml:space="preserve">Howard March 23 </t>
  </si>
  <si>
    <t>Webpage Membership 14/02/23 - 13/02/24</t>
  </si>
  <si>
    <t>SUB/CH10999/11</t>
  </si>
  <si>
    <t>Maintenance cover 24/03/23 - 23/03/24</t>
  </si>
  <si>
    <t>Opus March 23</t>
  </si>
  <si>
    <t>March</t>
  </si>
  <si>
    <t>PPL PRS P&amp;G 15/01/23 - 15/01/24</t>
  </si>
  <si>
    <t>SIN2366896</t>
  </si>
  <si>
    <t>Water plus March 23</t>
  </si>
  <si>
    <t>Inv01754889</t>
  </si>
  <si>
    <t>McAfee</t>
  </si>
  <si>
    <t>VPN subs 26/10/22 - 26/11/23</t>
  </si>
  <si>
    <t>CS3132632503</t>
  </si>
  <si>
    <t>24/03/23 - 17/07/23 2 sessions</t>
  </si>
  <si>
    <t>Squareplace</t>
  </si>
  <si>
    <t>12/02/23 -12/02/24</t>
  </si>
  <si>
    <t>Lucas 18/02/23 - 18/08/24</t>
  </si>
  <si>
    <t>Apr inv</t>
  </si>
  <si>
    <t>Dec 22 - Nov 23</t>
  </si>
  <si>
    <t>Nov 22- Oct 23</t>
  </si>
  <si>
    <t>License for microsoft office 22/11/22-21/12/23</t>
  </si>
  <si>
    <t>E0400K7WKY</t>
  </si>
  <si>
    <t>Engie March 2023</t>
  </si>
  <si>
    <t>Superfast FTTC/P 24/02/223- 23/05/23</t>
  </si>
  <si>
    <t>Provision for Heating (balance)</t>
  </si>
  <si>
    <t>Provision for the Front Doors (balance)</t>
  </si>
  <si>
    <t>Provision for Alarm and CCTV replacement</t>
  </si>
  <si>
    <t xml:space="preserve">Opus provision </t>
  </si>
  <si>
    <t>Provisions</t>
  </si>
  <si>
    <t>A/R Ageing Detail</t>
  </si>
  <si>
    <t>As of May 11, 2023</t>
  </si>
  <si>
    <t>Date</t>
  </si>
  <si>
    <t>Transaction Type</t>
  </si>
  <si>
    <t>No.</t>
  </si>
  <si>
    <t>Customer</t>
  </si>
  <si>
    <t>Due Date</t>
  </si>
  <si>
    <t>Open Balance</t>
  </si>
  <si>
    <t>01/01/2020</t>
  </si>
  <si>
    <t>Invoice</t>
  </si>
  <si>
    <t>31/01/2020</t>
  </si>
  <si>
    <t>03/04/2020</t>
  </si>
  <si>
    <t>Payment</t>
  </si>
  <si>
    <t>29/10/2020</t>
  </si>
  <si>
    <t>30/06/2021</t>
  </si>
  <si>
    <t>01/09/2021</t>
  </si>
  <si>
    <t>30/09/2021</t>
  </si>
  <si>
    <t>03/11/2021</t>
  </si>
  <si>
    <t>01/02/2022</t>
  </si>
  <si>
    <t>25/02/2022</t>
  </si>
  <si>
    <t>01/03/2022</t>
  </si>
  <si>
    <t>11/03/2022</t>
  </si>
  <si>
    <t>08/04/2022</t>
  </si>
  <si>
    <t>Warwick District Foodbank</t>
  </si>
  <si>
    <t>01/05/2022</t>
  </si>
  <si>
    <t>31/05/2022</t>
  </si>
  <si>
    <t>01/06/2022</t>
  </si>
  <si>
    <t>01/07/2022</t>
  </si>
  <si>
    <t>01/04/2021</t>
  </si>
  <si>
    <t>Journal Entry</t>
  </si>
  <si>
    <t>230R</t>
  </si>
  <si>
    <t>WRITE OFF</t>
  </si>
  <si>
    <t>06/09/2022</t>
  </si>
  <si>
    <t>18/01/2022</t>
  </si>
  <si>
    <t>17/12/2021</t>
  </si>
  <si>
    <t>18/11/2021</t>
  </si>
  <si>
    <t>18/10/2021</t>
  </si>
  <si>
    <t>MOVE TO CREDITORS</t>
  </si>
  <si>
    <t>As of March 31, 2023</t>
  </si>
  <si>
    <t>At 1 Apr 2022</t>
  </si>
  <si>
    <t>At 31 Mar 2023</t>
  </si>
  <si>
    <t>NBV at 31 Mar 2023</t>
  </si>
  <si>
    <t>2022-23</t>
  </si>
  <si>
    <t>Year Ended 31 Mar 2023</t>
  </si>
  <si>
    <t>Balance Sheet at 31 March 2023</t>
  </si>
  <si>
    <t>April 2022 - March 2023</t>
  </si>
  <si>
    <t>Property and General</t>
  </si>
  <si>
    <t>Inclusive Projects</t>
  </si>
  <si>
    <t>Warm Hub projects</t>
  </si>
  <si>
    <t>Total Youthwork</t>
  </si>
  <si>
    <t>Cinema</t>
  </si>
  <si>
    <t xml:space="preserve">      1021 Donations for non-tKC activities</t>
  </si>
  <si>
    <t xml:space="preserve">      1270 Billable Expense Income</t>
  </si>
  <si>
    <t xml:space="preserve">      1330 Cinema Subscriptions</t>
  </si>
  <si>
    <t xml:space="preserve">   3000 Personnel Costs - Core Staff cost</t>
  </si>
  <si>
    <t xml:space="preserve">   Total 3000 Personnel Costs - Core Staff cost</t>
  </si>
  <si>
    <t xml:space="preserve">   3001 Payroll Expenses - Additionally Fundend Hours</t>
  </si>
  <si>
    <t xml:space="preserve">      3003 Additional Youthwork Staff Cost  - AFH</t>
  </si>
  <si>
    <t xml:space="preserve">   Total 3001 Payroll Expenses - Additionally Fundend Hours</t>
  </si>
  <si>
    <t xml:space="preserve">      4300 Security Costs</t>
  </si>
  <si>
    <t xml:space="preserve">      6020 Photocopying</t>
  </si>
  <si>
    <t xml:space="preserve">      7540 Inclusive projects cost</t>
  </si>
  <si>
    <t xml:space="preserve">   9990 Penalties &amp; Settlements</t>
  </si>
  <si>
    <t>Monday, May 22, 2023 12:03:17 pm GMT+1 - Accrual Basis</t>
  </si>
  <si>
    <t>Donations for non-tKC activities</t>
  </si>
  <si>
    <t>Projects (Warm Hub, Handmade &amp; Homegrown, Inclusive project)</t>
  </si>
  <si>
    <t>Youth Activities (Garden playground and Wellbeing included)</t>
  </si>
  <si>
    <t>Statutory Accounts 2022-23</t>
  </si>
  <si>
    <t>Rebecca Webb</t>
  </si>
  <si>
    <t>Sarah McCaffrey</t>
  </si>
  <si>
    <t>Megan Holloway</t>
  </si>
  <si>
    <t>* Donation from May Lou - seeling plants</t>
  </si>
  <si>
    <t>* Donation for Garden from Ann Whitehouse</t>
  </si>
  <si>
    <t>* Local giving Victoria Mier</t>
  </si>
  <si>
    <t>* Donation from Ann Whitehouse for Garden</t>
  </si>
  <si>
    <t>* Local giving</t>
  </si>
  <si>
    <t>* Coventry Buiilding Society donation (for general use)</t>
  </si>
  <si>
    <t>* WCC County - donation for Youthclub - Sam applied (will be used for pool tabel cover, arts and sport materials)</t>
  </si>
  <si>
    <t>* Flourish donation for the Yoga provided in tkc</t>
  </si>
  <si>
    <t>* Kenilworth Lions donation for Youthwork</t>
  </si>
  <si>
    <t>* Cycle recycler donation for Yoga youthclub</t>
  </si>
  <si>
    <t>* Coventry City of Culture</t>
  </si>
  <si>
    <t>Warm Hub - WCC</t>
  </si>
  <si>
    <t>* the Kenilworth Lions grant for the garden furniture</t>
  </si>
  <si>
    <t>* Kenilworth Chambers</t>
  </si>
  <si>
    <t>* Kenilworth Town council grant for emergency lightings</t>
  </si>
  <si>
    <t>* Warwick County - Community Garden project - Greenshoots</t>
  </si>
  <si>
    <t>* Mentoring Project:Kenilworth United Charities</t>
  </si>
  <si>
    <t>* Kenilworth Town council grant for Youthclub</t>
  </si>
  <si>
    <t>* WCC County fund - Youthwork to pay for Friday's (salaries)</t>
  </si>
  <si>
    <t>* Kenilworth Lions - for youth work costs - friday night activity and towards staffing</t>
  </si>
  <si>
    <t>* Rotary Club grant for Mentoring</t>
  </si>
  <si>
    <t>* Wellbeing Hub - received from Mayor of Kenilworth</t>
  </si>
  <si>
    <t>Provision at 1 April 2022</t>
  </si>
  <si>
    <t>Provision at 31 March 2023</t>
  </si>
  <si>
    <t xml:space="preserve">Provision for CCTV and Firealarm </t>
  </si>
  <si>
    <t>Fund Balances at 1 April 2022</t>
  </si>
  <si>
    <t>Fund Balances at 31 March 2023</t>
  </si>
  <si>
    <t>Penalties &amp; Settlements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</si>
</sst>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\ _€"/>
    <numFmt numFmtId="165" formatCode="&quot;£&quot;* #,##0.00\ _€"/>
    <numFmt numFmtId="166" formatCode="#,##0_ ;[Red]\-#,##0\ "/>
    <numFmt numFmtId="167" formatCode="#,##0;\(#,##0\)"/>
    <numFmt numFmtId="168" formatCode="#,##0.0"/>
    <numFmt numFmtId="169" formatCode="0.0"/>
    <numFmt numFmtId="170" formatCode="&quot;£&quot;#,##0.00"/>
    <numFmt numFmtId="171" formatCode="dd/mm/yyyy;@"/>
    <numFmt numFmtId="172" formatCode="&quot;£&quot;#,##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i/>
      <sz val="9"/>
      <name val="Arial"/>
      <family val="2"/>
    </font>
    <font>
      <b/>
      <sz val="11"/>
      <color indexed="8"/>
      <name val="Calibri"/>
      <family val="2"/>
      <scheme val="minor"/>
    </font>
    <font>
      <u/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sz val="11"/>
      <color rgb="FF3F3F76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indexed="8"/>
      <name val="Arial"/>
      <family val="2"/>
    </font>
    <font>
      <b/>
      <sz val="11"/>
      <name val="Calibri"/>
      <family val="2"/>
      <scheme val="minor"/>
    </font>
    <font>
      <b/>
      <sz val="14"/>
      <color indexed="8"/>
      <name val="Arial"/>
    </font>
    <font>
      <b/>
      <sz val="10"/>
      <color indexed="8"/>
      <name val="Arial"/>
    </font>
    <font>
      <b/>
      <sz val="9"/>
      <color indexed="8"/>
      <name val="Arial"/>
    </font>
    <font>
      <sz val="8"/>
      <color indexed="8"/>
      <name val="Arial"/>
    </font>
    <font>
      <b/>
      <sz val="11"/>
      <color rgb="FFFF0000"/>
      <name val="Calibri"/>
      <family val="2"/>
      <scheme val="minor"/>
    </font>
    <font>
      <b/>
      <sz val="8"/>
      <color indexed="8"/>
      <name val="Arial"/>
    </font>
    <font>
      <b/>
      <sz val="9"/>
      <color rgb="FFFF0000"/>
      <name val="Arial"/>
    </font>
    <font>
      <sz val="8"/>
      <color rgb="FFFF0000"/>
      <name val="Arial"/>
    </font>
    <font>
      <b/>
      <sz val="8"/>
      <color rgb="FFFF0000"/>
      <name val="Arial"/>
    </font>
    <font>
      <b/>
      <sz val="9"/>
      <color theme="8"/>
      <name val="Arial"/>
      <family val="2"/>
    </font>
    <font>
      <b/>
      <sz val="8"/>
      <color theme="8"/>
      <name val="Arial"/>
      <family val="2"/>
    </font>
    <font>
      <b/>
      <sz val="11"/>
      <color theme="8"/>
      <name val="Calibri"/>
      <family val="2"/>
      <scheme val="minor"/>
    </font>
    <font>
      <i/>
      <sz val="10"/>
      <name val="Arial"/>
      <family val="2"/>
    </font>
    <font>
      <b/>
      <i/>
      <sz val="9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7" fillId="0" borderId="0"/>
    <xf numFmtId="0" fontId="8" fillId="0" borderId="0"/>
    <xf numFmtId="0" fontId="12" fillId="0" borderId="0"/>
  </cellStyleXfs>
  <cellXfs count="29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left" wrapText="1"/>
    </xf>
    <xf numFmtId="0" fontId="7" fillId="0" borderId="0" xfId="3"/>
    <xf numFmtId="0" fontId="7" fillId="0" borderId="0" xfId="4" applyFont="1"/>
    <xf numFmtId="0" fontId="4" fillId="0" borderId="0" xfId="4" applyFont="1" applyAlignment="1">
      <alignment horizontal="center"/>
    </xf>
    <xf numFmtId="0" fontId="4" fillId="0" borderId="0" xfId="4" applyFont="1"/>
    <xf numFmtId="167" fontId="8" fillId="0" borderId="0" xfId="4" applyNumberFormat="1"/>
    <xf numFmtId="0" fontId="8" fillId="0" borderId="0" xfId="4"/>
    <xf numFmtId="0" fontId="12" fillId="0" borderId="0" xfId="5"/>
    <xf numFmtId="0" fontId="4" fillId="0" borderId="0" xfId="3" applyFont="1"/>
    <xf numFmtId="0" fontId="13" fillId="0" borderId="0" xfId="3" applyFont="1"/>
    <xf numFmtId="0" fontId="7" fillId="0" borderId="0" xfId="3" applyAlignment="1">
      <alignment horizontal="center"/>
    </xf>
    <xf numFmtId="3" fontId="7" fillId="0" borderId="0" xfId="3" applyNumberFormat="1"/>
    <xf numFmtId="3" fontId="4" fillId="0" borderId="0" xfId="3" applyNumberFormat="1" applyFont="1"/>
    <xf numFmtId="3" fontId="13" fillId="0" borderId="0" xfId="3" applyNumberFormat="1" applyFont="1"/>
    <xf numFmtId="0" fontId="14" fillId="0" borderId="0" xfId="5" applyFont="1"/>
    <xf numFmtId="0" fontId="3" fillId="0" borderId="0" xfId="4" applyFont="1"/>
    <xf numFmtId="0" fontId="15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167" fontId="8" fillId="0" borderId="3" xfId="4" applyNumberFormat="1" applyBorder="1"/>
    <xf numFmtId="0" fontId="7" fillId="0" borderId="0" xfId="4" applyFont="1" applyAlignment="1">
      <alignment wrapText="1"/>
    </xf>
    <xf numFmtId="167" fontId="4" fillId="0" borderId="4" xfId="4" applyNumberFormat="1" applyFont="1" applyBorder="1"/>
    <xf numFmtId="167" fontId="4" fillId="0" borderId="0" xfId="4" applyNumberFormat="1" applyFont="1"/>
    <xf numFmtId="167" fontId="4" fillId="0" borderId="5" xfId="4" applyNumberFormat="1" applyFont="1" applyBorder="1"/>
    <xf numFmtId="167" fontId="4" fillId="0" borderId="7" xfId="4" applyNumberFormat="1" applyFont="1" applyBorder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70" fontId="7" fillId="0" borderId="0" xfId="0" applyNumberFormat="1" applyFont="1"/>
    <xf numFmtId="0" fontId="16" fillId="0" borderId="0" xfId="0" applyFont="1"/>
    <xf numFmtId="0" fontId="17" fillId="0" borderId="0" xfId="0" applyFont="1"/>
    <xf numFmtId="14" fontId="18" fillId="2" borderId="1" xfId="2" applyNumberFormat="1" applyFont="1"/>
    <xf numFmtId="170" fontId="4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wrapText="1"/>
    </xf>
    <xf numFmtId="170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171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19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170" fontId="7" fillId="0" borderId="7" xfId="0" applyNumberFormat="1" applyFont="1" applyBorder="1"/>
    <xf numFmtId="0" fontId="20" fillId="0" borderId="0" xfId="3" applyFont="1"/>
    <xf numFmtId="0" fontId="21" fillId="0" borderId="0" xfId="3" applyFont="1" applyAlignment="1">
      <alignment horizontal="center"/>
    </xf>
    <xf numFmtId="0" fontId="21" fillId="0" borderId="0" xfId="3" applyFont="1"/>
    <xf numFmtId="0" fontId="21" fillId="0" borderId="0" xfId="3" applyFont="1" applyAlignment="1">
      <alignment horizontal="center" wrapText="1"/>
    </xf>
    <xf numFmtId="0" fontId="21" fillId="0" borderId="0" xfId="3" applyFont="1" applyAlignment="1">
      <alignment wrapText="1"/>
    </xf>
    <xf numFmtId="17" fontId="21" fillId="0" borderId="0" xfId="3" applyNumberFormat="1" applyFont="1"/>
    <xf numFmtId="4" fontId="21" fillId="0" borderId="0" xfId="3" applyNumberFormat="1" applyFont="1"/>
    <xf numFmtId="4" fontId="21" fillId="0" borderId="7" xfId="3" applyNumberFormat="1" applyFont="1" applyBorder="1"/>
    <xf numFmtId="4" fontId="21" fillId="0" borderId="3" xfId="3" applyNumberFormat="1" applyFont="1" applyBorder="1"/>
    <xf numFmtId="0" fontId="21" fillId="0" borderId="0" xfId="3" applyFont="1" applyAlignment="1">
      <alignment horizontal="right"/>
    </xf>
    <xf numFmtId="168" fontId="21" fillId="0" borderId="4" xfId="3" applyNumberFormat="1" applyFont="1" applyBorder="1"/>
    <xf numFmtId="2" fontId="20" fillId="0" borderId="0" xfId="3" applyNumberFormat="1" applyFont="1"/>
    <xf numFmtId="2" fontId="21" fillId="0" borderId="0" xfId="3" applyNumberFormat="1" applyFont="1"/>
    <xf numFmtId="168" fontId="21" fillId="3" borderId="0" xfId="3" applyNumberFormat="1" applyFont="1" applyFill="1"/>
    <xf numFmtId="14" fontId="4" fillId="0" borderId="0" xfId="0" applyNumberFormat="1" applyFont="1"/>
    <xf numFmtId="0" fontId="3" fillId="0" borderId="0" xfId="0" applyFont="1"/>
    <xf numFmtId="172" fontId="3" fillId="0" borderId="0" xfId="0" applyNumberFormat="1" applyFont="1" applyAlignment="1">
      <alignment horizontal="center"/>
    </xf>
    <xf numFmtId="14" fontId="0" fillId="0" borderId="0" xfId="0" applyNumberFormat="1"/>
    <xf numFmtId="172" fontId="0" fillId="0" borderId="0" xfId="0" applyNumberFormat="1"/>
    <xf numFmtId="4" fontId="0" fillId="0" borderId="0" xfId="0" applyNumberFormat="1"/>
    <xf numFmtId="172" fontId="3" fillId="0" borderId="7" xfId="0" applyNumberFormat="1" applyFont="1" applyBorder="1"/>
    <xf numFmtId="0" fontId="22" fillId="0" borderId="0" xfId="4" applyFont="1"/>
    <xf numFmtId="0" fontId="23" fillId="0" borderId="0" xfId="4" applyFont="1" applyAlignment="1">
      <alignment horizontal="center"/>
    </xf>
    <xf numFmtId="3" fontId="22" fillId="0" borderId="0" xfId="4" applyNumberFormat="1" applyFont="1"/>
    <xf numFmtId="0" fontId="25" fillId="0" borderId="0" xfId="0" applyFont="1" applyAlignment="1">
      <alignment horizontal="left" wrapText="1"/>
    </xf>
    <xf numFmtId="0" fontId="24" fillId="0" borderId="0" xfId="0" applyFont="1"/>
    <xf numFmtId="166" fontId="22" fillId="0" borderId="0" xfId="4" applyNumberFormat="1" applyFont="1"/>
    <xf numFmtId="3" fontId="22" fillId="0" borderId="0" xfId="4" applyNumberFormat="1" applyFont="1" applyAlignment="1">
      <alignment horizontal="right"/>
    </xf>
    <xf numFmtId="0" fontId="23" fillId="0" borderId="0" xfId="0" applyFont="1"/>
    <xf numFmtId="2" fontId="7" fillId="0" borderId="0" xfId="0" applyNumberFormat="1" applyFont="1"/>
    <xf numFmtId="4" fontId="7" fillId="0" borderId="0" xfId="0" applyNumberFormat="1" applyFont="1" applyProtection="1">
      <protection locked="0"/>
    </xf>
    <xf numFmtId="4" fontId="0" fillId="0" borderId="0" xfId="0" applyNumberFormat="1" applyProtection="1">
      <protection locked="0"/>
    </xf>
    <xf numFmtId="14" fontId="7" fillId="0" borderId="0" xfId="0" quotePrefix="1" applyNumberFormat="1" applyFont="1" applyAlignment="1">
      <alignment horizontal="center"/>
    </xf>
    <xf numFmtId="0" fontId="7" fillId="0" borderId="0" xfId="0" quotePrefix="1" applyFont="1" applyAlignment="1">
      <alignment horizontal="center"/>
    </xf>
    <xf numFmtId="172" fontId="22" fillId="0" borderId="0" xfId="0" applyNumberFormat="1" applyFont="1"/>
    <xf numFmtId="0" fontId="0" fillId="0" borderId="0" xfId="0" applyAlignment="1">
      <alignment horizontal="left"/>
    </xf>
    <xf numFmtId="2" fontId="12" fillId="0" borderId="0" xfId="5" applyNumberFormat="1"/>
    <xf numFmtId="0" fontId="20" fillId="0" borderId="0" xfId="3" applyFont="1" applyAlignment="1">
      <alignment wrapText="1"/>
    </xf>
    <xf numFmtId="168" fontId="20" fillId="3" borderId="0" xfId="3" applyNumberFormat="1" applyFont="1" applyFill="1"/>
    <xf numFmtId="168" fontId="20" fillId="0" borderId="4" xfId="3" applyNumberFormat="1" applyFont="1" applyBorder="1"/>
    <xf numFmtId="0" fontId="20" fillId="0" borderId="0" xfId="3" applyFont="1" applyAlignment="1">
      <alignment horizontal="center"/>
    </xf>
    <xf numFmtId="169" fontId="20" fillId="0" borderId="4" xfId="3" applyNumberFormat="1" applyFont="1" applyBorder="1"/>
    <xf numFmtId="0" fontId="28" fillId="0" borderId="0" xfId="3" applyFont="1" applyAlignment="1">
      <alignment horizontal="center" wrapText="1"/>
    </xf>
    <xf numFmtId="4" fontId="28" fillId="0" borderId="0" xfId="3" applyNumberFormat="1" applyFont="1"/>
    <xf numFmtId="4" fontId="28" fillId="0" borderId="4" xfId="3" applyNumberFormat="1" applyFont="1" applyBorder="1"/>
    <xf numFmtId="2" fontId="29" fillId="0" borderId="0" xfId="3" applyNumberFormat="1" applyFont="1"/>
    <xf numFmtId="0" fontId="29" fillId="0" borderId="0" xfId="3" applyFont="1" applyAlignment="1">
      <alignment horizontal="center" wrapText="1"/>
    </xf>
    <xf numFmtId="4" fontId="7" fillId="0" borderId="0" xfId="0" applyNumberFormat="1" applyFont="1"/>
    <xf numFmtId="4" fontId="7" fillId="0" borderId="3" xfId="0" applyNumberFormat="1" applyFont="1" applyBorder="1"/>
    <xf numFmtId="4" fontId="4" fillId="0" borderId="3" xfId="0" applyNumberFormat="1" applyFont="1" applyBorder="1"/>
    <xf numFmtId="4" fontId="23" fillId="0" borderId="3" xfId="0" applyNumberFormat="1" applyFont="1" applyBorder="1"/>
    <xf numFmtId="4" fontId="4" fillId="0" borderId="0" xfId="0" applyNumberFormat="1" applyFont="1"/>
    <xf numFmtId="4" fontId="27" fillId="0" borderId="0" xfId="0" applyNumberFormat="1" applyFont="1"/>
    <xf numFmtId="4" fontId="7" fillId="4" borderId="0" xfId="0" applyNumberFormat="1" applyFont="1" applyFill="1"/>
    <xf numFmtId="4" fontId="7" fillId="0" borderId="4" xfId="0" applyNumberFormat="1" applyFont="1" applyBorder="1"/>
    <xf numFmtId="4" fontId="23" fillId="0" borderId="4" xfId="0" applyNumberFormat="1" applyFont="1" applyBorder="1"/>
    <xf numFmtId="4" fontId="22" fillId="0" borderId="4" xfId="0" applyNumberFormat="1" applyFont="1" applyBorder="1"/>
    <xf numFmtId="4" fontId="4" fillId="0" borderId="7" xfId="0" applyNumberFormat="1" applyFont="1" applyBorder="1"/>
    <xf numFmtId="3" fontId="4" fillId="0" borderId="0" xfId="4" applyNumberFormat="1" applyFont="1" applyAlignment="1">
      <alignment horizontal="center"/>
    </xf>
    <xf numFmtId="3" fontId="7" fillId="0" borderId="0" xfId="4" applyNumberFormat="1" applyFont="1"/>
    <xf numFmtId="1" fontId="4" fillId="0" borderId="0" xfId="4" applyNumberFormat="1" applyFont="1" applyAlignment="1">
      <alignment horizontal="center"/>
    </xf>
    <xf numFmtId="166" fontId="7" fillId="0" borderId="0" xfId="4" applyNumberFormat="1" applyFont="1" applyAlignment="1">
      <alignment horizontal="right"/>
    </xf>
    <xf numFmtId="3" fontId="7" fillId="0" borderId="0" xfId="4" applyNumberFormat="1" applyFont="1" applyAlignment="1">
      <alignment horizontal="right"/>
    </xf>
    <xf numFmtId="167" fontId="7" fillId="0" borderId="0" xfId="4" applyNumberFormat="1" applyFont="1"/>
    <xf numFmtId="166" fontId="7" fillId="0" borderId="0" xfId="4" applyNumberFormat="1" applyFont="1"/>
    <xf numFmtId="0" fontId="7" fillId="0" borderId="0" xfId="4" applyFont="1" applyAlignment="1">
      <alignment horizontal="right"/>
    </xf>
    <xf numFmtId="3" fontId="7" fillId="0" borderId="4" xfId="4" applyNumberFormat="1" applyFont="1" applyBorder="1"/>
    <xf numFmtId="166" fontId="7" fillId="0" borderId="4" xfId="4" applyNumberFormat="1" applyFont="1" applyBorder="1" applyAlignment="1">
      <alignment horizontal="right"/>
    </xf>
    <xf numFmtId="3" fontId="7" fillId="0" borderId="4" xfId="4" applyNumberFormat="1" applyFont="1" applyBorder="1" applyAlignment="1">
      <alignment horizontal="right"/>
    </xf>
    <xf numFmtId="3" fontId="7" fillId="0" borderId="0" xfId="4" applyNumberFormat="1" applyFont="1" applyAlignment="1">
      <alignment horizontal="center"/>
    </xf>
    <xf numFmtId="0" fontId="24" fillId="0" borderId="0" xfId="5" applyFont="1" applyAlignment="1">
      <alignment horizontal="left"/>
    </xf>
    <xf numFmtId="2" fontId="24" fillId="0" borderId="0" xfId="5" applyNumberFormat="1" applyFont="1"/>
    <xf numFmtId="0" fontId="31" fillId="0" borderId="0" xfId="0" applyFont="1" applyAlignment="1">
      <alignment horizontal="left" wrapText="1"/>
    </xf>
    <xf numFmtId="0" fontId="3" fillId="0" borderId="2" xfId="0" applyFont="1" applyBorder="1"/>
    <xf numFmtId="17" fontId="7" fillId="0" borderId="0" xfId="3" applyNumberFormat="1" applyAlignment="1">
      <alignment horizontal="left"/>
    </xf>
    <xf numFmtId="9" fontId="7" fillId="0" borderId="0" xfId="3" applyNumberFormat="1"/>
    <xf numFmtId="0" fontId="24" fillId="0" borderId="0" xfId="5" applyFont="1"/>
    <xf numFmtId="172" fontId="7" fillId="0" borderId="0" xfId="0" applyNumberFormat="1" applyFont="1"/>
    <xf numFmtId="0" fontId="27" fillId="0" borderId="0" xfId="0" applyFont="1"/>
    <xf numFmtId="172" fontId="27" fillId="0" borderId="0" xfId="0" applyNumberFormat="1" applyFont="1"/>
    <xf numFmtId="0" fontId="34" fillId="0" borderId="2" xfId="0" applyFont="1" applyBorder="1" applyAlignment="1">
      <alignment horizontal="center" wrapText="1"/>
    </xf>
    <xf numFmtId="164" fontId="32" fillId="0" borderId="0" xfId="0" applyNumberFormat="1" applyFont="1" applyAlignment="1">
      <alignment wrapText="1"/>
    </xf>
    <xf numFmtId="164" fontId="32" fillId="0" borderId="0" xfId="0" applyNumberFormat="1" applyFont="1" applyAlignment="1">
      <alignment horizontal="right" wrapText="1"/>
    </xf>
    <xf numFmtId="165" fontId="31" fillId="0" borderId="3" xfId="0" applyNumberFormat="1" applyFont="1" applyBorder="1" applyAlignment="1">
      <alignment horizontal="right" wrapText="1"/>
    </xf>
    <xf numFmtId="0" fontId="36" fillId="0" borderId="0" xfId="0" applyFont="1" applyAlignment="1">
      <alignment horizontal="center" vertical="center" wrapText="1"/>
    </xf>
    <xf numFmtId="0" fontId="5" fillId="6" borderId="0" xfId="0" applyFont="1" applyFill="1" applyAlignment="1">
      <alignment horizontal="left" wrapText="1"/>
    </xf>
    <xf numFmtId="0" fontId="5" fillId="7" borderId="0" xfId="0" applyFont="1" applyFill="1" applyAlignment="1">
      <alignment horizontal="left" wrapText="1"/>
    </xf>
    <xf numFmtId="0" fontId="37" fillId="7" borderId="0" xfId="0" applyFont="1" applyFill="1" applyAlignment="1">
      <alignment horizontal="left" wrapText="1"/>
    </xf>
    <xf numFmtId="0" fontId="5" fillId="8" borderId="0" xfId="0" applyFont="1" applyFill="1" applyAlignment="1">
      <alignment horizontal="left" wrapText="1"/>
    </xf>
    <xf numFmtId="0" fontId="25" fillId="8" borderId="0" xfId="0" applyFont="1" applyFill="1" applyAlignment="1">
      <alignment horizontal="left" wrapText="1"/>
    </xf>
    <xf numFmtId="0" fontId="5" fillId="9" borderId="0" xfId="0" applyFont="1" applyFill="1" applyAlignment="1">
      <alignment horizontal="left" wrapText="1"/>
    </xf>
    <xf numFmtId="0" fontId="5" fillId="10" borderId="0" xfId="0" applyFont="1" applyFill="1" applyAlignment="1">
      <alignment horizontal="left" wrapText="1"/>
    </xf>
    <xf numFmtId="0" fontId="5" fillId="11" borderId="0" xfId="0" applyFont="1" applyFill="1" applyAlignment="1">
      <alignment horizontal="left" wrapText="1"/>
    </xf>
    <xf numFmtId="164" fontId="6" fillId="0" borderId="0" xfId="0" applyNumberFormat="1" applyFont="1" applyAlignment="1">
      <alignment horizontal="center" vertical="center" wrapText="1"/>
    </xf>
    <xf numFmtId="164" fontId="30" fillId="8" borderId="0" xfId="0" applyNumberFormat="1" applyFont="1" applyFill="1" applyAlignment="1">
      <alignment horizontal="right" wrapText="1"/>
    </xf>
    <xf numFmtId="165" fontId="37" fillId="7" borderId="3" xfId="0" applyNumberFormat="1" applyFont="1" applyFill="1" applyBorder="1" applyAlignment="1">
      <alignment horizontal="center" vertical="center" wrapText="1"/>
    </xf>
    <xf numFmtId="165" fontId="30" fillId="7" borderId="3" xfId="0" applyNumberFormat="1" applyFont="1" applyFill="1" applyBorder="1" applyAlignment="1">
      <alignment horizontal="center" vertical="center" wrapText="1"/>
    </xf>
    <xf numFmtId="165" fontId="25" fillId="5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9" fillId="8" borderId="0" xfId="0" applyNumberFormat="1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4" fontId="6" fillId="8" borderId="0" xfId="0" applyNumberFormat="1" applyFont="1" applyFill="1" applyAlignment="1">
      <alignment horizontal="center" vertical="center" wrapText="1"/>
    </xf>
    <xf numFmtId="165" fontId="5" fillId="6" borderId="3" xfId="0" applyNumberFormat="1" applyFont="1" applyFill="1" applyBorder="1" applyAlignment="1">
      <alignment horizontal="center" vertical="center" wrapText="1"/>
    </xf>
    <xf numFmtId="165" fontId="5" fillId="9" borderId="3" xfId="0" applyNumberFormat="1" applyFont="1" applyFill="1" applyBorder="1" applyAlignment="1">
      <alignment horizontal="center" vertical="center" wrapText="1"/>
    </xf>
    <xf numFmtId="165" fontId="5" fillId="7" borderId="3" xfId="0" applyNumberFormat="1" applyFont="1" applyFill="1" applyBorder="1" applyAlignment="1">
      <alignment horizontal="center" vertical="center" wrapText="1"/>
    </xf>
    <xf numFmtId="165" fontId="5" fillId="11" borderId="3" xfId="0" applyNumberFormat="1" applyFont="1" applyFill="1" applyBorder="1" applyAlignment="1">
      <alignment horizontal="center" vertical="center" wrapText="1"/>
    </xf>
    <xf numFmtId="165" fontId="5" fillId="10" borderId="3" xfId="0" applyNumberFormat="1" applyFont="1" applyFill="1" applyBorder="1" applyAlignment="1">
      <alignment horizontal="center" vertical="center" wrapText="1"/>
    </xf>
    <xf numFmtId="164" fontId="26" fillId="8" borderId="0" xfId="0" applyNumberFormat="1" applyFont="1" applyFill="1" applyAlignment="1">
      <alignment horizontal="center" vertical="center" wrapText="1"/>
    </xf>
    <xf numFmtId="165" fontId="25" fillId="0" borderId="3" xfId="0" applyNumberFormat="1" applyFont="1" applyBorder="1" applyAlignment="1">
      <alignment horizontal="center" vertical="center" wrapText="1"/>
    </xf>
    <xf numFmtId="164" fontId="26" fillId="0" borderId="0" xfId="0" applyNumberFormat="1" applyFont="1" applyAlignment="1">
      <alignment horizontal="center" vertical="center" wrapText="1"/>
    </xf>
    <xf numFmtId="40" fontId="22" fillId="0" borderId="0" xfId="4" applyNumberFormat="1" applyFont="1"/>
    <xf numFmtId="0" fontId="38" fillId="0" borderId="2" xfId="0" applyFont="1" applyBorder="1" applyAlignment="1">
      <alignment horizontal="center" wrapText="1"/>
    </xf>
    <xf numFmtId="164" fontId="6" fillId="0" borderId="0" xfId="0" applyNumberFormat="1" applyFont="1" applyAlignment="1">
      <alignment horizontal="right" wrapText="1"/>
    </xf>
    <xf numFmtId="0" fontId="27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 wrapText="1"/>
    </xf>
    <xf numFmtId="0" fontId="38" fillId="12" borderId="2" xfId="0" applyFont="1" applyFill="1" applyBorder="1" applyAlignment="1">
      <alignment horizontal="center" wrapText="1"/>
    </xf>
    <xf numFmtId="164" fontId="30" fillId="12" borderId="0" xfId="0" applyNumberFormat="1" applyFont="1" applyFill="1" applyAlignment="1">
      <alignment horizontal="center" wrapText="1"/>
    </xf>
    <xf numFmtId="4" fontId="5" fillId="6" borderId="3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33" fillId="0" borderId="0" xfId="4" applyFont="1" applyAlignment="1">
      <alignment horizontal="center"/>
    </xf>
    <xf numFmtId="0" fontId="33" fillId="0" borderId="0" xfId="4" applyFont="1"/>
    <xf numFmtId="0" fontId="9" fillId="0" borderId="0" xfId="4" applyFont="1"/>
    <xf numFmtId="3" fontId="9" fillId="0" borderId="0" xfId="4" applyNumberFormat="1" applyFont="1"/>
    <xf numFmtId="166" fontId="9" fillId="0" borderId="0" xfId="4" applyNumberFormat="1" applyFont="1"/>
    <xf numFmtId="3" fontId="33" fillId="0" borderId="0" xfId="4" applyNumberFormat="1" applyFont="1" applyAlignment="1">
      <alignment horizontal="center"/>
    </xf>
    <xf numFmtId="1" fontId="33" fillId="0" borderId="0" xfId="4" applyNumberFormat="1" applyFont="1" applyAlignment="1">
      <alignment horizontal="center"/>
    </xf>
    <xf numFmtId="166" fontId="9" fillId="0" borderId="0" xfId="4" applyNumberFormat="1" applyFont="1" applyAlignment="1">
      <alignment horizontal="right"/>
    </xf>
    <xf numFmtId="3" fontId="9" fillId="0" borderId="3" xfId="4" applyNumberFormat="1" applyFont="1" applyBorder="1"/>
    <xf numFmtId="3" fontId="7" fillId="0" borderId="2" xfId="4" applyNumberFormat="1" applyFont="1" applyBorder="1"/>
    <xf numFmtId="0" fontId="6" fillId="0" borderId="0" xfId="0" applyFont="1" applyAlignment="1">
      <alignment horizontal="left" wrapText="1"/>
    </xf>
    <xf numFmtId="168" fontId="7" fillId="0" borderId="0" xfId="3" applyNumberFormat="1"/>
    <xf numFmtId="165" fontId="5" fillId="5" borderId="3" xfId="0" applyNumberFormat="1" applyFont="1" applyFill="1" applyBorder="1" applyAlignment="1">
      <alignment horizontal="right" wrapText="1"/>
    </xf>
    <xf numFmtId="0" fontId="22" fillId="0" borderId="0" xfId="0" applyFont="1"/>
    <xf numFmtId="4" fontId="22" fillId="0" borderId="0" xfId="0" applyNumberFormat="1" applyFont="1"/>
    <xf numFmtId="17" fontId="27" fillId="0" borderId="0" xfId="0" applyNumberFormat="1" applyFont="1"/>
    <xf numFmtId="0" fontId="27" fillId="0" borderId="0" xfId="0" applyFont="1" applyAlignment="1">
      <alignment wrapText="1"/>
    </xf>
    <xf numFmtId="0" fontId="27" fillId="0" borderId="0" xfId="0" applyFont="1" applyAlignment="1">
      <alignment horizontal="left"/>
    </xf>
    <xf numFmtId="1" fontId="7" fillId="0" borderId="0" xfId="0" applyNumberFormat="1" applyFo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2" fillId="0" borderId="2" xfId="0" applyFont="1" applyBorder="1" applyAlignment="1">
      <alignment horizontal="center" wrapText="1"/>
    </xf>
    <xf numFmtId="0" fontId="43" fillId="0" borderId="0" xfId="0" applyFont="1" applyAlignment="1">
      <alignment horizontal="left" wrapText="1"/>
    </xf>
    <xf numFmtId="164" fontId="43" fillId="0" borderId="0" xfId="0" applyNumberFormat="1" applyFont="1" applyAlignment="1">
      <alignment horizontal="right" wrapText="1"/>
    </xf>
    <xf numFmtId="164" fontId="0" fillId="0" borderId="7" xfId="0" applyNumberFormat="1" applyBorder="1"/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left" wrapText="1"/>
    </xf>
    <xf numFmtId="164" fontId="43" fillId="0" borderId="0" xfId="0" applyNumberFormat="1" applyFont="1" applyAlignment="1">
      <alignment wrapText="1"/>
    </xf>
    <xf numFmtId="165" fontId="45" fillId="0" borderId="3" xfId="0" applyNumberFormat="1" applyFont="1" applyBorder="1" applyAlignment="1">
      <alignment horizontal="right" wrapText="1"/>
    </xf>
    <xf numFmtId="0" fontId="46" fillId="0" borderId="2" xfId="0" applyFont="1" applyBorder="1" applyAlignment="1">
      <alignment horizontal="center" wrapText="1"/>
    </xf>
    <xf numFmtId="164" fontId="47" fillId="0" borderId="0" xfId="0" applyNumberFormat="1" applyFont="1" applyAlignment="1">
      <alignment wrapText="1"/>
    </xf>
    <xf numFmtId="164" fontId="47" fillId="0" borderId="0" xfId="0" applyNumberFormat="1" applyFont="1" applyAlignment="1">
      <alignment horizontal="right" wrapText="1"/>
    </xf>
    <xf numFmtId="165" fontId="48" fillId="0" borderId="3" xfId="0" applyNumberFormat="1" applyFont="1" applyBorder="1" applyAlignment="1">
      <alignment horizontal="right" wrapText="1"/>
    </xf>
    <xf numFmtId="0" fontId="49" fillId="0" borderId="2" xfId="0" applyFont="1" applyBorder="1" applyAlignment="1">
      <alignment horizontal="center" wrapText="1"/>
    </xf>
    <xf numFmtId="164" fontId="50" fillId="0" borderId="0" xfId="0" applyNumberFormat="1" applyFont="1" applyAlignment="1">
      <alignment wrapText="1"/>
    </xf>
    <xf numFmtId="164" fontId="50" fillId="0" borderId="0" xfId="0" applyNumberFormat="1" applyFont="1" applyAlignment="1">
      <alignment horizontal="right" wrapText="1"/>
    </xf>
    <xf numFmtId="165" fontId="50" fillId="0" borderId="3" xfId="0" applyNumberFormat="1" applyFont="1" applyBorder="1" applyAlignment="1">
      <alignment horizontal="right" wrapText="1"/>
    </xf>
    <xf numFmtId="0" fontId="51" fillId="0" borderId="0" xfId="0" applyFont="1"/>
    <xf numFmtId="0" fontId="5" fillId="5" borderId="0" xfId="0" applyFont="1" applyFill="1" applyAlignment="1">
      <alignment horizontal="left" wrapText="1"/>
    </xf>
    <xf numFmtId="165" fontId="25" fillId="5" borderId="3" xfId="0" applyNumberFormat="1" applyFont="1" applyFill="1" applyBorder="1" applyAlignment="1">
      <alignment horizontal="right" wrapText="1"/>
    </xf>
    <xf numFmtId="165" fontId="50" fillId="5" borderId="3" xfId="0" applyNumberFormat="1" applyFont="1" applyFill="1" applyBorder="1" applyAlignment="1">
      <alignment horizontal="right" wrapText="1"/>
    </xf>
    <xf numFmtId="0" fontId="3" fillId="5" borderId="0" xfId="0" applyFont="1" applyFill="1"/>
    <xf numFmtId="0" fontId="23" fillId="0" borderId="0" xfId="4" applyFont="1"/>
    <xf numFmtId="0" fontId="20" fillId="0" borderId="2" xfId="3" applyFont="1" applyBorder="1" applyAlignment="1">
      <alignment horizontal="center"/>
    </xf>
    <xf numFmtId="0" fontId="48" fillId="0" borderId="0" xfId="0" applyFont="1" applyAlignment="1">
      <alignment horizontal="left" wrapText="1"/>
    </xf>
    <xf numFmtId="165" fontId="25" fillId="0" borderId="3" xfId="0" applyNumberFormat="1" applyFont="1" applyBorder="1" applyAlignment="1">
      <alignment horizontal="right" wrapText="1"/>
    </xf>
    <xf numFmtId="3" fontId="4" fillId="0" borderId="0" xfId="4" applyNumberFormat="1" applyFont="1"/>
    <xf numFmtId="3" fontId="4" fillId="0" borderId="0" xfId="4" applyNumberFormat="1" applyFont="1" applyAlignment="1">
      <alignment horizontal="center" wrapText="1"/>
    </xf>
    <xf numFmtId="3" fontId="7" fillId="0" borderId="3" xfId="4" applyNumberFormat="1" applyFont="1" applyBorder="1"/>
    <xf numFmtId="0" fontId="20" fillId="0" borderId="3" xfId="3" applyFont="1" applyBorder="1" applyAlignment="1">
      <alignment wrapText="1"/>
    </xf>
    <xf numFmtId="168" fontId="7" fillId="0" borderId="0" xfId="4" applyNumberFormat="1" applyFont="1"/>
    <xf numFmtId="0" fontId="27" fillId="0" borderId="0" xfId="5" applyFont="1" applyAlignment="1">
      <alignment horizontal="left"/>
    </xf>
    <xf numFmtId="2" fontId="27" fillId="0" borderId="0" xfId="5" applyNumberFormat="1" applyFont="1"/>
    <xf numFmtId="0" fontId="27" fillId="0" borderId="0" xfId="5" applyFont="1"/>
    <xf numFmtId="0" fontId="39" fillId="0" borderId="0" xfId="5" applyFont="1"/>
    <xf numFmtId="0" fontId="27" fillId="0" borderId="2" xfId="5" applyFont="1" applyBorder="1" applyAlignment="1">
      <alignment horizontal="left"/>
    </xf>
    <xf numFmtId="0" fontId="19" fillId="0" borderId="0" xfId="0" applyFont="1" applyAlignment="1">
      <alignment horizontal="left" wrapText="1"/>
    </xf>
    <xf numFmtId="2" fontId="39" fillId="0" borderId="6" xfId="5" applyNumberFormat="1" applyFont="1" applyBorder="1"/>
    <xf numFmtId="2" fontId="27" fillId="0" borderId="0" xfId="1" applyNumberFormat="1" applyFont="1"/>
    <xf numFmtId="3" fontId="4" fillId="0" borderId="5" xfId="4" applyNumberFormat="1" applyFont="1" applyBorder="1" applyAlignment="1">
      <alignment horizontal="right"/>
    </xf>
    <xf numFmtId="3" fontId="4" fillId="0" borderId="0" xfId="4" applyNumberFormat="1" applyFont="1" applyAlignment="1">
      <alignment horizontal="right"/>
    </xf>
    <xf numFmtId="0" fontId="4" fillId="0" borderId="0" xfId="4" applyFont="1" applyAlignment="1">
      <alignment horizontal="center" wrapText="1"/>
    </xf>
    <xf numFmtId="0" fontId="39" fillId="0" borderId="0" xfId="3" applyFont="1"/>
    <xf numFmtId="17" fontId="39" fillId="0" borderId="0" xfId="3" quotePrefix="1" applyNumberFormat="1" applyFont="1" applyAlignment="1">
      <alignment horizontal="left"/>
    </xf>
    <xf numFmtId="0" fontId="52" fillId="0" borderId="0" xfId="3" applyFont="1"/>
    <xf numFmtId="0" fontId="4" fillId="0" borderId="0" xfId="3" applyFont="1" applyAlignment="1">
      <alignment horizontal="center"/>
    </xf>
    <xf numFmtId="0" fontId="39" fillId="0" borderId="0" xfId="3" applyFont="1" applyAlignment="1">
      <alignment horizontal="center"/>
    </xf>
    <xf numFmtId="0" fontId="53" fillId="0" borderId="0" xfId="3" applyFont="1" applyAlignment="1">
      <alignment horizontal="center"/>
    </xf>
    <xf numFmtId="0" fontId="13" fillId="0" borderId="0" xfId="3" applyFont="1" applyAlignment="1">
      <alignment horizontal="center" wrapText="1"/>
    </xf>
    <xf numFmtId="0" fontId="13" fillId="0" borderId="0" xfId="3" applyFont="1" applyAlignment="1">
      <alignment horizontal="center"/>
    </xf>
    <xf numFmtId="3" fontId="39" fillId="0" borderId="4" xfId="3" applyNumberFormat="1" applyFont="1" applyBorder="1"/>
    <xf numFmtId="3" fontId="39" fillId="0" borderId="0" xfId="3" applyNumberFormat="1" applyFont="1"/>
    <xf numFmtId="0" fontId="53" fillId="0" borderId="0" xfId="3" applyFont="1"/>
    <xf numFmtId="3" fontId="4" fillId="0" borderId="5" xfId="3" applyNumberFormat="1" applyFont="1" applyBorder="1"/>
    <xf numFmtId="3" fontId="7" fillId="5" borderId="0" xfId="4" applyNumberFormat="1" applyFont="1" applyFill="1"/>
    <xf numFmtId="3" fontId="7" fillId="5" borderId="4" xfId="4" applyNumberFormat="1" applyFont="1" applyFill="1" applyBorder="1"/>
    <xf numFmtId="165" fontId="30" fillId="5" borderId="3" xfId="0" applyNumberFormat="1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/>
    </xf>
    <xf numFmtId="0" fontId="20" fillId="5" borderId="2" xfId="0" applyFont="1" applyFill="1" applyBorder="1" applyAlignment="1">
      <alignment horizontal="center" wrapText="1"/>
    </xf>
    <xf numFmtId="164" fontId="19" fillId="5" borderId="0" xfId="0" applyNumberFormat="1" applyFont="1" applyFill="1" applyAlignment="1">
      <alignment horizontal="center" vertical="center" wrapText="1"/>
    </xf>
    <xf numFmtId="4" fontId="30" fillId="5" borderId="3" xfId="0" applyNumberFormat="1" applyFont="1" applyFill="1" applyBorder="1" applyAlignment="1">
      <alignment horizontal="center" vertical="center" wrapText="1"/>
    </xf>
    <xf numFmtId="0" fontId="27" fillId="13" borderId="0" xfId="0" applyFont="1" applyFill="1" applyAlignment="1">
      <alignment horizontal="center" vertical="center"/>
    </xf>
    <xf numFmtId="0" fontId="38" fillId="13" borderId="2" xfId="0" applyFont="1" applyFill="1" applyBorder="1" applyAlignment="1">
      <alignment horizontal="center" wrapText="1"/>
    </xf>
    <xf numFmtId="164" fontId="19" fillId="13" borderId="0" xfId="0" applyNumberFormat="1" applyFont="1" applyFill="1" applyAlignment="1">
      <alignment horizontal="center" vertical="center" wrapText="1"/>
    </xf>
    <xf numFmtId="164" fontId="6" fillId="13" borderId="0" xfId="0" applyNumberFormat="1" applyFont="1" applyFill="1" applyAlignment="1">
      <alignment horizontal="center" vertical="center" wrapText="1"/>
    </xf>
    <xf numFmtId="165" fontId="5" fillId="13" borderId="3" xfId="0" applyNumberFormat="1" applyFont="1" applyFill="1" applyBorder="1" applyAlignment="1">
      <alignment horizontal="center" vertical="center" wrapText="1"/>
    </xf>
    <xf numFmtId="4" fontId="5" fillId="13" borderId="3" xfId="0" applyNumberFormat="1" applyFont="1" applyFill="1" applyBorder="1" applyAlignment="1">
      <alignment horizontal="center" vertical="center" wrapText="1"/>
    </xf>
    <xf numFmtId="165" fontId="37" fillId="13" borderId="3" xfId="0" applyNumberFormat="1" applyFont="1" applyFill="1" applyBorder="1" applyAlignment="1">
      <alignment horizontal="center" vertical="center" wrapText="1"/>
    </xf>
    <xf numFmtId="165" fontId="30" fillId="13" borderId="3" xfId="0" applyNumberFormat="1" applyFont="1" applyFill="1" applyBorder="1" applyAlignment="1">
      <alignment horizontal="center" vertical="center" wrapText="1"/>
    </xf>
    <xf numFmtId="164" fontId="26" fillId="13" borderId="0" xfId="0" applyNumberFormat="1" applyFont="1" applyFill="1" applyAlignment="1">
      <alignment horizontal="center" vertical="center" wrapText="1"/>
    </xf>
    <xf numFmtId="165" fontId="25" fillId="13" borderId="3" xfId="0" applyNumberFormat="1" applyFont="1" applyFill="1" applyBorder="1" applyAlignment="1">
      <alignment horizontal="center" vertical="center" wrapText="1"/>
    </xf>
    <xf numFmtId="0" fontId="46" fillId="14" borderId="2" xfId="0" applyFont="1" applyFill="1" applyBorder="1" applyAlignment="1">
      <alignment horizontal="center" wrapText="1"/>
    </xf>
    <xf numFmtId="164" fontId="47" fillId="14" borderId="0" xfId="0" applyNumberFormat="1" applyFont="1" applyFill="1" applyAlignment="1">
      <alignment wrapText="1"/>
    </xf>
    <xf numFmtId="164" fontId="47" fillId="14" borderId="0" xfId="0" applyNumberFormat="1" applyFont="1" applyFill="1" applyAlignment="1">
      <alignment horizontal="right" wrapText="1"/>
    </xf>
    <xf numFmtId="165" fontId="48" fillId="14" borderId="3" xfId="0" applyNumberFormat="1" applyFont="1" applyFill="1" applyBorder="1" applyAlignment="1">
      <alignment horizontal="right" wrapText="1"/>
    </xf>
    <xf numFmtId="165" fontId="25" fillId="14" borderId="3" xfId="0" applyNumberFormat="1" applyFont="1" applyFill="1" applyBorder="1" applyAlignment="1">
      <alignment horizontal="right" wrapText="1"/>
    </xf>
    <xf numFmtId="0" fontId="24" fillId="14" borderId="0" xfId="0" applyFont="1" applyFill="1"/>
    <xf numFmtId="0" fontId="42" fillId="15" borderId="2" xfId="0" applyFont="1" applyFill="1" applyBorder="1" applyAlignment="1">
      <alignment horizontal="center" wrapText="1"/>
    </xf>
    <xf numFmtId="164" fontId="43" fillId="15" borderId="0" xfId="0" applyNumberFormat="1" applyFont="1" applyFill="1" applyAlignment="1">
      <alignment wrapText="1"/>
    </xf>
    <xf numFmtId="164" fontId="43" fillId="15" borderId="0" xfId="0" applyNumberFormat="1" applyFont="1" applyFill="1" applyAlignment="1">
      <alignment horizontal="right" wrapText="1"/>
    </xf>
    <xf numFmtId="165" fontId="45" fillId="15" borderId="3" xfId="0" applyNumberFormat="1" applyFont="1" applyFill="1" applyBorder="1" applyAlignment="1">
      <alignment horizontal="right" wrapText="1"/>
    </xf>
    <xf numFmtId="165" fontId="5" fillId="15" borderId="3" xfId="0" applyNumberFormat="1" applyFont="1" applyFill="1" applyBorder="1" applyAlignment="1">
      <alignment horizontal="right" wrapText="1"/>
    </xf>
    <xf numFmtId="165" fontId="48" fillId="15" borderId="3" xfId="0" applyNumberFormat="1" applyFont="1" applyFill="1" applyBorder="1" applyAlignment="1">
      <alignment horizontal="right" wrapText="1"/>
    </xf>
    <xf numFmtId="0" fontId="0" fillId="15" borderId="0" xfId="0" applyFill="1"/>
    <xf numFmtId="167" fontId="7" fillId="0" borderId="3" xfId="4" applyNumberFormat="1" applyFont="1" applyBorder="1"/>
    <xf numFmtId="0" fontId="54" fillId="0" borderId="0" xfId="0" applyFont="1" applyAlignment="1">
      <alignment horizontal="right" vertical="center" wrapText="1"/>
    </xf>
    <xf numFmtId="3" fontId="55" fillId="0" borderId="0" xfId="0" applyNumberFormat="1" applyFont="1" applyAlignment="1">
      <alignment horizontal="right" vertical="center" wrapText="1"/>
    </xf>
    <xf numFmtId="0" fontId="55" fillId="0" borderId="0" xfId="0" applyFont="1" applyAlignment="1">
      <alignment horizontal="right" vertical="center" wrapText="1"/>
    </xf>
    <xf numFmtId="3" fontId="55" fillId="0" borderId="0" xfId="0" applyNumberFormat="1" applyFont="1" applyAlignment="1">
      <alignment horizontal="justify" vertical="center" wrapText="1"/>
    </xf>
    <xf numFmtId="0" fontId="4" fillId="0" borderId="0" xfId="3" applyFont="1" applyAlignment="1">
      <alignment horizontal="center"/>
    </xf>
    <xf numFmtId="0" fontId="7" fillId="0" borderId="0" xfId="4" applyFont="1" applyAlignment="1">
      <alignment wrapText="1"/>
    </xf>
    <xf numFmtId="0" fontId="10" fillId="0" borderId="0" xfId="0" applyFont="1" applyAlignment="1">
      <alignment horizontal="center"/>
    </xf>
    <xf numFmtId="0" fontId="0" fillId="0" borderId="0" xfId="0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20" fillId="0" borderId="2" xfId="3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</cellXfs>
  <cellStyles count="6">
    <cellStyle name="Comma" xfId="1" builtinId="3"/>
    <cellStyle name="Input" xfId="2" builtinId="20"/>
    <cellStyle name="Normal" xfId="0" builtinId="0"/>
    <cellStyle name="Normal 2" xfId="3" xr:uid="{00000000-0005-0000-0000-000004000000}"/>
    <cellStyle name="Normal 3" xfId="4" xr:uid="{00000000-0005-0000-0000-000005000000}"/>
    <cellStyle name="Normal 4" xfId="5" xr:uid="{00000000-0005-0000-0000-000006000000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e\Desktop\theKenilworthCentre\2016-17%20Stat%20Accs\Statutory%20accounts%201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FA"/>
      <sheetName val="Balance Sheet"/>
      <sheetName val="Notes"/>
      <sheetName val="QB Monthly Inc &amp; Exp 15_16"/>
      <sheetName val=" QB funds analysis 15_16"/>
      <sheetName val="QB Balance sheet"/>
      <sheetName val="Fixed Assets"/>
      <sheetName val="Staff Costs"/>
      <sheetName val="Gifts-In-Kind"/>
      <sheetName val="Income"/>
      <sheetName val="Restricted Funds"/>
      <sheetName val="QB Funds Analysis 14_15"/>
      <sheetName val="Accruals and Provisions"/>
      <sheetName val="Deferred Income"/>
    </sheetNames>
    <sheetDataSet>
      <sheetData sheetId="0"/>
      <sheetData sheetId="1"/>
      <sheetData sheetId="2">
        <row r="78">
          <cell r="A78">
            <v>7</v>
          </cell>
        </row>
        <row r="100">
          <cell r="A100">
            <v>8</v>
          </cell>
        </row>
        <row r="108">
          <cell r="A108">
            <v>9</v>
          </cell>
        </row>
        <row r="127">
          <cell r="A127">
            <v>10</v>
          </cell>
        </row>
      </sheetData>
      <sheetData sheetId="3"/>
      <sheetData sheetId="4"/>
      <sheetData sheetId="5"/>
      <sheetData sheetId="6"/>
      <sheetData sheetId="7">
        <row r="20">
          <cell r="M20">
            <v>3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ichard Dickson" id="{53E945EF-CE50-4FD4-B5C2-C5AA951ECB08}" userId="5dfd686a4e56139a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3" dT="2022-06-15T12:46:37.42" personId="{53E945EF-CE50-4FD4-B5C2-C5AA951ECB08}" id="{10E50738-19D3-4A1B-B228-C446D9066845}">
    <text>Slowcooking, HH and Asylum Seekers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R33"/>
  <sheetViews>
    <sheetView workbookViewId="0">
      <selection activeCell="T5" sqref="T5"/>
    </sheetView>
  </sheetViews>
  <sheetFormatPr defaultColWidth="9.140625" defaultRowHeight="15" x14ac:dyDescent="0.25"/>
  <cols>
    <col min="1" max="1" width="34.42578125" style="8" customWidth="1"/>
    <col min="2" max="5" width="9.140625" style="8"/>
    <col min="6" max="6" width="9.140625" style="4"/>
    <col min="7" max="10" width="9.140625" style="8"/>
    <col min="11" max="11" width="9.140625" style="8" customWidth="1"/>
    <col min="12" max="12" width="9.140625" style="8"/>
    <col min="13" max="13" width="8.85546875" customWidth="1"/>
    <col min="14" max="16384" width="9.140625" style="8"/>
  </cols>
  <sheetData>
    <row r="1" spans="1:18" x14ac:dyDescent="0.25">
      <c r="A1" s="17" t="s">
        <v>105</v>
      </c>
    </row>
    <row r="3" spans="1:18" x14ac:dyDescent="0.25">
      <c r="A3" s="6" t="s">
        <v>578</v>
      </c>
    </row>
    <row r="6" spans="1:18" x14ac:dyDescent="0.25">
      <c r="B6" s="5" t="s">
        <v>180</v>
      </c>
      <c r="C6" s="5"/>
      <c r="D6" s="18">
        <v>2023</v>
      </c>
      <c r="E6" s="18"/>
      <c r="F6" s="18">
        <v>2022</v>
      </c>
      <c r="G6" s="18"/>
      <c r="H6" s="18">
        <v>2021</v>
      </c>
      <c r="I6" s="18"/>
      <c r="J6" s="18">
        <v>2020</v>
      </c>
      <c r="K6" s="18"/>
      <c r="L6" s="18">
        <v>2019</v>
      </c>
      <c r="M6" s="8"/>
      <c r="N6" s="18">
        <v>2018</v>
      </c>
      <c r="O6"/>
      <c r="P6" s="18">
        <v>2017</v>
      </c>
      <c r="R6" s="18">
        <v>2016</v>
      </c>
    </row>
    <row r="7" spans="1:18" x14ac:dyDescent="0.25">
      <c r="B7" s="5"/>
      <c r="C7" s="5"/>
      <c r="D7" s="19" t="s">
        <v>145</v>
      </c>
      <c r="E7" s="19"/>
      <c r="F7" s="19" t="s">
        <v>145</v>
      </c>
      <c r="G7" s="19"/>
      <c r="H7" s="19" t="s">
        <v>145</v>
      </c>
      <c r="I7" s="19"/>
      <c r="J7" s="19" t="s">
        <v>145</v>
      </c>
      <c r="K7" s="19"/>
      <c r="L7" s="19" t="s">
        <v>145</v>
      </c>
      <c r="M7" s="8"/>
      <c r="N7" s="19" t="s">
        <v>145</v>
      </c>
      <c r="O7"/>
      <c r="P7" s="19" t="s">
        <v>145</v>
      </c>
      <c r="R7" s="19" t="s">
        <v>145</v>
      </c>
    </row>
    <row r="8" spans="1:18" x14ac:dyDescent="0.25">
      <c r="B8" s="5"/>
      <c r="C8" s="5"/>
      <c r="M8" s="8"/>
      <c r="O8"/>
    </row>
    <row r="9" spans="1:18" x14ac:dyDescent="0.25">
      <c r="B9" s="5"/>
      <c r="C9" s="5"/>
      <c r="M9" s="8"/>
      <c r="O9"/>
    </row>
    <row r="10" spans="1:18" x14ac:dyDescent="0.25">
      <c r="A10" s="6" t="s">
        <v>194</v>
      </c>
      <c r="B10" s="5"/>
      <c r="C10" s="5"/>
      <c r="D10" s="7"/>
      <c r="E10" s="7"/>
      <c r="F10" s="112"/>
      <c r="G10" s="7"/>
      <c r="H10" s="7"/>
      <c r="I10" s="7"/>
      <c r="J10" s="7"/>
      <c r="K10" s="7"/>
      <c r="L10" s="7"/>
      <c r="M10" s="8"/>
      <c r="N10" s="7"/>
      <c r="O10"/>
      <c r="P10" s="7"/>
      <c r="R10" s="7"/>
    </row>
    <row r="11" spans="1:18" x14ac:dyDescent="0.25">
      <c r="A11" s="4" t="s">
        <v>195</v>
      </c>
      <c r="B11" s="5">
        <f>[1]Notes!A78</f>
        <v>7</v>
      </c>
      <c r="C11" s="5"/>
      <c r="D11" s="7">
        <f>Notes!Q105</f>
        <v>5146.1163636363635</v>
      </c>
      <c r="E11" s="7"/>
      <c r="F11" s="112">
        <v>5366.1834545454585</v>
      </c>
      <c r="G11" s="7"/>
      <c r="H11" s="7">
        <v>7096.150545454544</v>
      </c>
      <c r="I11" s="7"/>
      <c r="J11" s="7">
        <v>9167.206303030307</v>
      </c>
      <c r="K11" s="7"/>
      <c r="L11" s="7">
        <v>9936.5820606060588</v>
      </c>
      <c r="M11" s="8"/>
      <c r="N11" s="7">
        <v>10014.827818181813</v>
      </c>
      <c r="O11"/>
      <c r="P11" s="7">
        <v>11706.342909090909</v>
      </c>
      <c r="R11" s="7">
        <v>4535</v>
      </c>
    </row>
    <row r="12" spans="1:18" x14ac:dyDescent="0.25">
      <c r="A12" s="4"/>
      <c r="B12" s="5"/>
      <c r="C12" s="5"/>
      <c r="D12" s="7"/>
      <c r="E12" s="7"/>
      <c r="F12" s="112"/>
      <c r="G12" s="7"/>
      <c r="H12" s="7"/>
      <c r="I12" s="7"/>
      <c r="J12" s="7"/>
      <c r="K12" s="7"/>
      <c r="L12" s="7"/>
      <c r="M12" s="8"/>
      <c r="N12" s="7"/>
      <c r="O12"/>
      <c r="P12" s="7"/>
      <c r="R12" s="7"/>
    </row>
    <row r="13" spans="1:18" x14ac:dyDescent="0.25">
      <c r="A13" s="6" t="s">
        <v>177</v>
      </c>
      <c r="B13" s="5"/>
      <c r="C13" s="5"/>
      <c r="D13" s="7"/>
      <c r="E13" s="7"/>
      <c r="F13" s="112"/>
      <c r="G13" s="7"/>
      <c r="H13" s="7"/>
      <c r="I13" s="7"/>
      <c r="J13" s="7"/>
      <c r="K13" s="7"/>
      <c r="L13" s="7"/>
      <c r="M13" s="8"/>
      <c r="N13" s="7"/>
      <c r="O13"/>
      <c r="P13" s="7"/>
      <c r="R13" s="7"/>
    </row>
    <row r="14" spans="1:18" x14ac:dyDescent="0.25">
      <c r="A14" s="4" t="s">
        <v>196</v>
      </c>
      <c r="B14" s="5">
        <f>[1]Notes!A100</f>
        <v>8</v>
      </c>
      <c r="C14" s="5"/>
      <c r="D14" s="7">
        <f>Notes!G116</f>
        <v>5274.8600000000006</v>
      </c>
      <c r="E14" s="7"/>
      <c r="F14" s="112">
        <v>7281.2800000000007</v>
      </c>
      <c r="G14" s="7"/>
      <c r="H14" s="7">
        <v>5854.74</v>
      </c>
      <c r="I14" s="7"/>
      <c r="J14" s="7">
        <v>2602.1400000000003</v>
      </c>
      <c r="K14" s="7"/>
      <c r="L14" s="7">
        <v>5445.29</v>
      </c>
      <c r="M14" s="8"/>
      <c r="N14" s="7">
        <v>3649.77</v>
      </c>
      <c r="O14"/>
      <c r="P14" s="7">
        <v>3185.01</v>
      </c>
      <c r="R14" s="7">
        <v>4375</v>
      </c>
    </row>
    <row r="15" spans="1:18" x14ac:dyDescent="0.25">
      <c r="A15" s="8" t="s">
        <v>197</v>
      </c>
      <c r="B15" s="5"/>
      <c r="C15" s="5"/>
      <c r="D15" s="7">
        <f>'QB_Balance Sheet'!B24</f>
        <v>62475.68</v>
      </c>
      <c r="E15" s="7"/>
      <c r="F15" s="112">
        <v>85969.430000000008</v>
      </c>
      <c r="G15" s="7"/>
      <c r="H15" s="7">
        <v>87035.48000000001</v>
      </c>
      <c r="I15" s="7"/>
      <c r="J15" s="7">
        <v>101662.56</v>
      </c>
      <c r="K15" s="7"/>
      <c r="L15" s="7">
        <v>115651</v>
      </c>
      <c r="M15" s="8"/>
      <c r="N15" s="7">
        <v>111318.33</v>
      </c>
      <c r="O15"/>
      <c r="P15" s="7">
        <v>96878.469999999987</v>
      </c>
      <c r="R15" s="7">
        <v>88300</v>
      </c>
    </row>
    <row r="16" spans="1:18" x14ac:dyDescent="0.25">
      <c r="B16" s="5"/>
      <c r="C16" s="5"/>
      <c r="D16" s="7"/>
      <c r="E16" s="7"/>
      <c r="F16" s="112"/>
      <c r="G16" s="7"/>
      <c r="H16" s="7"/>
      <c r="I16" s="7"/>
      <c r="J16" s="7"/>
      <c r="K16" s="7"/>
      <c r="L16" s="7"/>
      <c r="M16" s="8"/>
      <c r="N16" s="7"/>
      <c r="O16"/>
      <c r="P16" s="7"/>
      <c r="R16" s="7"/>
    </row>
    <row r="17" spans="1:18" x14ac:dyDescent="0.25">
      <c r="A17" s="6"/>
      <c r="B17" s="5"/>
      <c r="C17" s="5"/>
      <c r="D17" s="20">
        <f>SUM(D14:D16)</f>
        <v>67750.540000000008</v>
      </c>
      <c r="E17" s="7"/>
      <c r="F17" s="272">
        <v>93249.71</v>
      </c>
      <c r="G17" s="7"/>
      <c r="H17" s="20">
        <v>92890.220000000016</v>
      </c>
      <c r="I17" s="7"/>
      <c r="J17" s="20">
        <v>104264.7</v>
      </c>
      <c r="K17" s="7"/>
      <c r="L17" s="20">
        <f>121096.29-1</f>
        <v>121095.29</v>
      </c>
      <c r="M17" s="8"/>
      <c r="N17" s="20">
        <v>114968.1</v>
      </c>
      <c r="O17"/>
      <c r="P17" s="20">
        <v>100063.47999999998</v>
      </c>
      <c r="R17" s="20">
        <f>SUM(R14:R16)</f>
        <v>92675</v>
      </c>
    </row>
    <row r="18" spans="1:18" x14ac:dyDescent="0.25">
      <c r="B18" s="5"/>
      <c r="C18" s="5"/>
      <c r="D18" s="7"/>
      <c r="E18" s="7"/>
      <c r="F18" s="112"/>
      <c r="G18" s="7"/>
      <c r="H18" s="7"/>
      <c r="I18" s="7"/>
      <c r="J18" s="7"/>
      <c r="K18" s="7"/>
      <c r="L18" s="7"/>
      <c r="M18" s="8"/>
      <c r="N18" s="7"/>
      <c r="O18"/>
      <c r="P18" s="7"/>
      <c r="R18" s="7"/>
    </row>
    <row r="19" spans="1:18" ht="26.25" x14ac:dyDescent="0.25">
      <c r="A19" s="21" t="s">
        <v>154</v>
      </c>
      <c r="B19" s="5">
        <f>[1]Notes!A108</f>
        <v>9</v>
      </c>
      <c r="C19" s="5"/>
      <c r="D19" s="7">
        <f>Notes!G126</f>
        <v>-20140.72</v>
      </c>
      <c r="E19" s="7"/>
      <c r="F19" s="112">
        <v>-24082.05</v>
      </c>
      <c r="G19" s="7"/>
      <c r="H19" s="7">
        <v>-12770.880000000001</v>
      </c>
      <c r="I19" s="7"/>
      <c r="J19" s="7">
        <v>-30188.46</v>
      </c>
      <c r="K19" s="7"/>
      <c r="L19" s="7">
        <v>-30600.94</v>
      </c>
      <c r="M19" s="8"/>
      <c r="N19" s="7">
        <v>-22256</v>
      </c>
      <c r="O19"/>
      <c r="P19" s="7">
        <v>-18380.599999999999</v>
      </c>
      <c r="R19" s="7">
        <v>-22654.29</v>
      </c>
    </row>
    <row r="20" spans="1:18" x14ac:dyDescent="0.25">
      <c r="B20" s="5"/>
      <c r="C20" s="5"/>
      <c r="D20" s="7"/>
      <c r="E20" s="7"/>
      <c r="F20" s="112"/>
      <c r="G20" s="7"/>
      <c r="H20" s="7"/>
      <c r="I20" s="7"/>
      <c r="J20" s="7"/>
      <c r="K20" s="7"/>
      <c r="L20" s="7"/>
      <c r="M20" s="8"/>
      <c r="N20" s="7"/>
      <c r="O20"/>
      <c r="P20" s="7"/>
      <c r="R20" s="7"/>
    </row>
    <row r="21" spans="1:18" x14ac:dyDescent="0.25">
      <c r="A21" s="6" t="s">
        <v>198</v>
      </c>
      <c r="B21" s="5"/>
      <c r="C21" s="5"/>
      <c r="D21" s="22">
        <f>D17+D19</f>
        <v>47609.820000000007</v>
      </c>
      <c r="E21" s="23"/>
      <c r="F21" s="22">
        <v>69167.66</v>
      </c>
      <c r="G21" s="23"/>
      <c r="H21" s="22">
        <v>80119.340000000011</v>
      </c>
      <c r="I21" s="23"/>
      <c r="J21" s="22">
        <v>74077.239999999991</v>
      </c>
      <c r="K21" s="23"/>
      <c r="L21" s="22">
        <f>90495.35-1</f>
        <v>90494.35</v>
      </c>
      <c r="M21" s="8"/>
      <c r="N21" s="22">
        <v>92712</v>
      </c>
      <c r="O21"/>
      <c r="P21" s="22">
        <v>81682.879999999976</v>
      </c>
      <c r="R21" s="22">
        <f>R17+R19</f>
        <v>70020.709999999992</v>
      </c>
    </row>
    <row r="22" spans="1:18" x14ac:dyDescent="0.25">
      <c r="A22" s="6"/>
      <c r="B22" s="5"/>
      <c r="C22" s="5"/>
      <c r="D22" s="23"/>
      <c r="E22" s="23"/>
      <c r="F22" s="23"/>
      <c r="G22" s="23"/>
      <c r="H22" s="23"/>
      <c r="I22" s="23"/>
      <c r="J22" s="23"/>
      <c r="K22" s="23"/>
      <c r="L22" s="23"/>
      <c r="M22" s="8"/>
      <c r="N22" s="23"/>
      <c r="O22"/>
      <c r="P22" s="23"/>
      <c r="R22" s="23"/>
    </row>
    <row r="23" spans="1:18" ht="15.75" thickBot="1" x14ac:dyDescent="0.3">
      <c r="A23" s="6" t="s">
        <v>199</v>
      </c>
      <c r="B23" s="5"/>
      <c r="C23" s="5"/>
      <c r="D23" s="24">
        <f>D21+D11</f>
        <v>52755.936363636371</v>
      </c>
      <c r="E23" s="23"/>
      <c r="F23" s="24">
        <v>74533.843454545466</v>
      </c>
      <c r="G23" s="23"/>
      <c r="H23" s="24">
        <v>87215.490545454551</v>
      </c>
      <c r="I23" s="23"/>
      <c r="J23" s="24">
        <v>83244.446303030301</v>
      </c>
      <c r="K23" s="23"/>
      <c r="L23" s="24">
        <v>100430.93206060605</v>
      </c>
      <c r="M23" s="8"/>
      <c r="N23" s="24">
        <v>102727</v>
      </c>
      <c r="O23"/>
      <c r="P23" s="24">
        <v>93389.22290909088</v>
      </c>
      <c r="R23" s="24">
        <f>R21+R11</f>
        <v>74555.709999999992</v>
      </c>
    </row>
    <row r="24" spans="1:18" ht="15.75" thickTop="1" x14ac:dyDescent="0.25">
      <c r="A24" s="6"/>
      <c r="B24" s="5"/>
      <c r="C24" s="5"/>
      <c r="D24" s="23"/>
      <c r="E24" s="23"/>
      <c r="F24" s="23"/>
      <c r="G24" s="23"/>
      <c r="H24" s="23"/>
      <c r="I24" s="23"/>
      <c r="J24" s="23"/>
      <c r="K24" s="23"/>
      <c r="L24" s="23"/>
      <c r="M24" s="8"/>
      <c r="N24" s="23"/>
      <c r="O24"/>
      <c r="P24" s="23"/>
      <c r="R24" s="23"/>
    </row>
    <row r="25" spans="1:18" x14ac:dyDescent="0.25">
      <c r="B25" s="5"/>
      <c r="C25" s="5"/>
      <c r="D25" s="7"/>
      <c r="E25" s="7"/>
      <c r="F25" s="112"/>
      <c r="G25" s="7"/>
      <c r="H25" s="7"/>
      <c r="I25" s="7"/>
      <c r="J25" s="7"/>
      <c r="K25" s="7"/>
      <c r="L25" s="7"/>
      <c r="M25" s="7"/>
      <c r="N25" s="7"/>
      <c r="O25"/>
      <c r="P25" s="7"/>
      <c r="R25" s="7"/>
    </row>
    <row r="26" spans="1:18" x14ac:dyDescent="0.25">
      <c r="A26" s="6" t="s">
        <v>200</v>
      </c>
      <c r="B26" s="5"/>
      <c r="C26" s="5"/>
      <c r="D26" s="7"/>
      <c r="E26" s="7"/>
      <c r="F26" s="112"/>
      <c r="G26" s="7"/>
      <c r="H26" s="7"/>
      <c r="I26" s="7"/>
      <c r="J26" s="7"/>
      <c r="K26" s="7"/>
      <c r="L26" s="7"/>
      <c r="M26" s="8"/>
      <c r="N26" s="7"/>
      <c r="O26"/>
      <c r="P26" s="7"/>
      <c r="R26" s="7"/>
    </row>
    <row r="27" spans="1:18" x14ac:dyDescent="0.25">
      <c r="B27" s="5"/>
      <c r="C27" s="5"/>
      <c r="D27" s="7"/>
      <c r="E27" s="7"/>
      <c r="F27" s="112"/>
      <c r="G27" s="7"/>
      <c r="H27" s="7"/>
      <c r="I27" s="7"/>
      <c r="J27" s="7"/>
      <c r="K27" s="7"/>
      <c r="L27" s="7"/>
      <c r="M27" s="8"/>
      <c r="N27" s="7"/>
      <c r="O27"/>
      <c r="P27" s="7"/>
      <c r="R27" s="7"/>
    </row>
    <row r="28" spans="1:18" x14ac:dyDescent="0.25">
      <c r="A28" s="4" t="s">
        <v>201</v>
      </c>
      <c r="B28" s="5"/>
      <c r="C28" s="5"/>
      <c r="D28" s="7">
        <f>Notes!O177</f>
        <v>24797.800000000032</v>
      </c>
      <c r="E28" s="7"/>
      <c r="F28" s="112">
        <v>42550.970000000016</v>
      </c>
      <c r="G28" s="7"/>
      <c r="H28" s="7">
        <v>58684.50999999998</v>
      </c>
      <c r="I28" s="7"/>
      <c r="J28" s="7">
        <v>63978.369999999981</v>
      </c>
      <c r="K28" s="7"/>
      <c r="L28" s="7">
        <v>82628.269999999975</v>
      </c>
      <c r="M28" s="8"/>
      <c r="N28" s="7">
        <v>88107</v>
      </c>
      <c r="O28"/>
      <c r="P28" s="7">
        <v>79638.080000000002</v>
      </c>
      <c r="R28" s="7">
        <v>72479</v>
      </c>
    </row>
    <row r="29" spans="1:18" x14ac:dyDescent="0.25">
      <c r="A29" s="4" t="s">
        <v>202</v>
      </c>
      <c r="B29" s="5">
        <f>[1]Notes!A127</f>
        <v>10</v>
      </c>
      <c r="C29" s="5"/>
      <c r="D29" s="7">
        <f>Notes!O193</f>
        <v>27957.920000000002</v>
      </c>
      <c r="E29" s="7"/>
      <c r="F29" s="112">
        <v>31982.560000000001</v>
      </c>
      <c r="G29" s="7"/>
      <c r="H29" s="7">
        <v>28529.870000000006</v>
      </c>
      <c r="I29" s="7"/>
      <c r="J29" s="7">
        <v>19266.27</v>
      </c>
      <c r="K29" s="7"/>
      <c r="L29" s="7">
        <v>17802.859999999997</v>
      </c>
      <c r="M29" s="8"/>
      <c r="N29" s="7">
        <v>14620</v>
      </c>
      <c r="O29"/>
      <c r="P29" s="7">
        <v>13751.089999999997</v>
      </c>
      <c r="R29" s="7">
        <v>2077</v>
      </c>
    </row>
    <row r="30" spans="1:18" x14ac:dyDescent="0.25">
      <c r="B30" s="5"/>
      <c r="C30" s="5"/>
      <c r="D30" s="7"/>
      <c r="E30" s="7"/>
      <c r="F30" s="112"/>
      <c r="G30" s="7"/>
      <c r="H30" s="7"/>
      <c r="I30" s="7"/>
      <c r="J30" s="7"/>
      <c r="K30" s="7"/>
      <c r="L30" s="7"/>
      <c r="M30" s="8"/>
      <c r="N30" s="7"/>
      <c r="O30"/>
      <c r="P30" s="7"/>
      <c r="R30" s="7"/>
    </row>
    <row r="31" spans="1:18" ht="15.75" thickBot="1" x14ac:dyDescent="0.3">
      <c r="A31" s="6"/>
      <c r="B31" s="6"/>
      <c r="C31" s="6"/>
      <c r="D31" s="25">
        <f>SUM(D28:D30)</f>
        <v>52755.72000000003</v>
      </c>
      <c r="E31" s="23"/>
      <c r="F31" s="25">
        <v>74533.530000000013</v>
      </c>
      <c r="G31" s="23"/>
      <c r="H31" s="25">
        <v>87215.37999999999</v>
      </c>
      <c r="I31" s="23"/>
      <c r="J31" s="25">
        <v>83243.639999999985</v>
      </c>
      <c r="K31" s="23"/>
      <c r="L31" s="25">
        <v>100431.12999999998</v>
      </c>
      <c r="M31" s="8"/>
      <c r="N31" s="25">
        <v>102727</v>
      </c>
      <c r="O31"/>
      <c r="P31" s="25">
        <v>93389.17</v>
      </c>
      <c r="R31" s="25">
        <f>SUM(R28:R30)</f>
        <v>74556</v>
      </c>
    </row>
    <row r="32" spans="1:18" ht="15.75" thickTop="1" x14ac:dyDescent="0.25">
      <c r="D32" s="7"/>
      <c r="E32" s="7"/>
      <c r="F32" s="112"/>
      <c r="G32" s="7"/>
      <c r="H32" s="7"/>
      <c r="I32" s="7"/>
      <c r="J32" s="7"/>
      <c r="L32" s="7"/>
    </row>
    <row r="33" spans="4:12" x14ac:dyDescent="0.25">
      <c r="D33" s="7"/>
      <c r="E33" s="7"/>
      <c r="F33" s="112"/>
      <c r="G33" s="7"/>
      <c r="H33" s="7"/>
      <c r="I33" s="7"/>
      <c r="J33" s="7"/>
      <c r="L33" s="7"/>
    </row>
  </sheetData>
  <pageMargins left="0.7" right="0.7" top="0.75" bottom="0.75" header="0.3" footer="0.3"/>
  <pageSetup paperSize="9" scale="6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Z61"/>
  <sheetViews>
    <sheetView workbookViewId="0">
      <selection activeCell="A39" sqref="A39"/>
    </sheetView>
  </sheetViews>
  <sheetFormatPr defaultColWidth="9.140625" defaultRowHeight="12.75" x14ac:dyDescent="0.2"/>
  <cols>
    <col min="1" max="1" width="40" style="3" customWidth="1"/>
    <col min="2" max="2" width="3.85546875" style="3" customWidth="1"/>
    <col min="3" max="3" width="7.28515625" style="3" customWidth="1"/>
    <col min="4" max="4" width="12.140625" style="3" customWidth="1"/>
    <col min="5" max="5" width="4.42578125" style="3" customWidth="1"/>
    <col min="6" max="6" width="10" style="3" customWidth="1"/>
    <col min="7" max="7" width="4.28515625" style="3" customWidth="1"/>
    <col min="8" max="8" width="10.140625" style="3" bestFit="1" customWidth="1"/>
    <col min="9" max="9" width="4.85546875" style="3" customWidth="1"/>
    <col min="10" max="10" width="10.140625" style="3" customWidth="1"/>
    <col min="11" max="11" width="4.42578125" style="3" customWidth="1"/>
    <col min="12" max="12" width="10.140625" style="3" customWidth="1"/>
    <col min="13" max="13" width="4.28515625" style="3" customWidth="1"/>
    <col min="14" max="14" width="8.5703125" style="3" customWidth="1"/>
    <col min="15" max="15" width="4.28515625" style="3" customWidth="1"/>
    <col min="16" max="16" width="9.140625" style="3"/>
    <col min="17" max="17" width="6" style="3" customWidth="1"/>
    <col min="18" max="18" width="9.140625" style="3"/>
    <col min="19" max="19" width="4" style="3" customWidth="1"/>
    <col min="20" max="20" width="9.42578125" style="3" customWidth="1"/>
    <col min="21" max="21" width="4.5703125" style="3" customWidth="1"/>
    <col min="22" max="16384" width="9.140625" style="3"/>
  </cols>
  <sheetData>
    <row r="1" spans="1:26" ht="15" x14ac:dyDescent="0.25">
      <c r="A1" s="230" t="s">
        <v>105</v>
      </c>
    </row>
    <row r="2" spans="1:26" ht="15" x14ac:dyDescent="0.25">
      <c r="A2" s="230"/>
      <c r="D2" s="231"/>
      <c r="P2" s="232"/>
      <c r="Q2" s="232"/>
      <c r="R2" s="232"/>
    </row>
    <row r="3" spans="1:26" x14ac:dyDescent="0.2">
      <c r="A3" s="10" t="s">
        <v>179</v>
      </c>
    </row>
    <row r="4" spans="1:26" ht="15" x14ac:dyDescent="0.25">
      <c r="A4" s="10"/>
      <c r="D4" s="277" t="s">
        <v>577</v>
      </c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33"/>
      <c r="R4" s="233"/>
      <c r="T4" s="234"/>
    </row>
    <row r="5" spans="1:26" ht="15" x14ac:dyDescent="0.25">
      <c r="C5" s="10" t="s">
        <v>180</v>
      </c>
      <c r="D5" s="234" t="s">
        <v>3</v>
      </c>
      <c r="E5" s="234"/>
      <c r="F5" s="234" t="s">
        <v>2</v>
      </c>
      <c r="G5" s="234"/>
      <c r="H5" s="233" t="s">
        <v>108</v>
      </c>
      <c r="I5" s="233"/>
      <c r="J5" s="233" t="s">
        <v>108</v>
      </c>
      <c r="K5" s="233"/>
      <c r="L5" s="233" t="s">
        <v>108</v>
      </c>
      <c r="M5" s="233"/>
      <c r="N5" s="233" t="s">
        <v>108</v>
      </c>
      <c r="O5" s="234"/>
      <c r="P5" s="233" t="s">
        <v>108</v>
      </c>
      <c r="Q5" s="234"/>
      <c r="R5" s="233" t="s">
        <v>108</v>
      </c>
      <c r="S5" s="233"/>
      <c r="T5" s="233" t="s">
        <v>108</v>
      </c>
      <c r="U5" s="234"/>
      <c r="V5" s="233" t="s">
        <v>108</v>
      </c>
      <c r="W5" s="235"/>
      <c r="X5" s="236"/>
      <c r="Y5" s="11"/>
      <c r="Z5" s="12"/>
    </row>
    <row r="6" spans="1:26" ht="15" x14ac:dyDescent="0.25">
      <c r="D6" s="234" t="s">
        <v>109</v>
      </c>
      <c r="E6" s="234"/>
      <c r="F6" s="234" t="s">
        <v>109</v>
      </c>
      <c r="G6" s="234"/>
      <c r="H6" s="234" t="s">
        <v>576</v>
      </c>
      <c r="I6" s="234"/>
      <c r="J6" s="234" t="s">
        <v>482</v>
      </c>
      <c r="K6" s="234"/>
      <c r="L6" s="234" t="s">
        <v>426</v>
      </c>
      <c r="M6" s="234"/>
      <c r="N6" s="234" t="s">
        <v>415</v>
      </c>
      <c r="O6" s="234"/>
      <c r="P6" s="234" t="s">
        <v>408</v>
      </c>
      <c r="Q6" s="234"/>
      <c r="R6" s="234" t="s">
        <v>368</v>
      </c>
      <c r="S6" s="234"/>
      <c r="T6" s="234" t="s">
        <v>193</v>
      </c>
      <c r="U6" s="234"/>
      <c r="V6" s="234" t="s">
        <v>181</v>
      </c>
      <c r="W6" s="235"/>
      <c r="X6" s="237"/>
      <c r="Y6" s="11"/>
    </row>
    <row r="7" spans="1:26" x14ac:dyDescent="0.2">
      <c r="D7" s="12" t="s">
        <v>145</v>
      </c>
      <c r="F7" s="12" t="s">
        <v>145</v>
      </c>
      <c r="H7" s="12" t="s">
        <v>145</v>
      </c>
      <c r="I7" s="12"/>
      <c r="J7" s="12" t="s">
        <v>145</v>
      </c>
      <c r="K7" s="12"/>
      <c r="L7" s="12" t="s">
        <v>145</v>
      </c>
      <c r="M7" s="12"/>
      <c r="N7" s="12" t="s">
        <v>145</v>
      </c>
      <c r="P7" s="12" t="s">
        <v>145</v>
      </c>
      <c r="R7" s="12" t="s">
        <v>145</v>
      </c>
      <c r="S7" s="12"/>
      <c r="T7" s="12" t="s">
        <v>145</v>
      </c>
      <c r="V7" s="12" t="s">
        <v>145</v>
      </c>
      <c r="W7" s="11"/>
      <c r="X7" s="11"/>
      <c r="Y7" s="11"/>
    </row>
    <row r="8" spans="1:26" x14ac:dyDescent="0.2">
      <c r="A8" s="10" t="s">
        <v>17</v>
      </c>
      <c r="W8" s="11"/>
      <c r="X8" s="11"/>
      <c r="Y8" s="11"/>
    </row>
    <row r="9" spans="1:26" x14ac:dyDescent="0.2">
      <c r="A9" s="3" t="s">
        <v>107</v>
      </c>
      <c r="C9" s="12">
        <v>2</v>
      </c>
      <c r="D9" s="13">
        <f>Notes!G9</f>
        <v>2409.6799999999998</v>
      </c>
      <c r="F9" s="13">
        <f>Notes!I14</f>
        <v>4071.7799999999997</v>
      </c>
      <c r="H9" s="14">
        <f>F9+D9+1</f>
        <v>6482.4599999999991</v>
      </c>
      <c r="I9" s="14"/>
      <c r="J9" s="14">
        <v>28310.78</v>
      </c>
      <c r="K9" s="14"/>
      <c r="L9" s="14">
        <v>14976.62</v>
      </c>
      <c r="M9" s="14"/>
      <c r="N9" s="14">
        <v>13242.57</v>
      </c>
      <c r="P9" s="14">
        <v>10286.31</v>
      </c>
      <c r="R9" s="14">
        <v>19691.36</v>
      </c>
      <c r="S9" s="14"/>
      <c r="T9" s="14">
        <v>20228.18</v>
      </c>
      <c r="V9" s="13">
        <v>40226</v>
      </c>
      <c r="W9" s="11"/>
      <c r="X9" s="15"/>
      <c r="Y9" s="11"/>
    </row>
    <row r="10" spans="1:26" x14ac:dyDescent="0.2">
      <c r="A10" s="3" t="s">
        <v>182</v>
      </c>
      <c r="C10" s="12">
        <v>3</v>
      </c>
      <c r="D10" s="13">
        <f>Notes!G29</f>
        <v>91264.680000000008</v>
      </c>
      <c r="F10" s="13">
        <f>Notes!I29</f>
        <v>16011.47</v>
      </c>
      <c r="H10" s="14">
        <f>F10+D10</f>
        <v>107276.15000000001</v>
      </c>
      <c r="I10" s="14"/>
      <c r="J10" s="14">
        <v>83870.510000000009</v>
      </c>
      <c r="K10" s="14"/>
      <c r="L10" s="14">
        <v>95995.19</v>
      </c>
      <c r="M10" s="14"/>
      <c r="N10" s="14">
        <v>84557.540000000008</v>
      </c>
      <c r="P10" s="14">
        <v>84740</v>
      </c>
      <c r="R10" s="14">
        <v>72319</v>
      </c>
      <c r="S10" s="14"/>
      <c r="T10" s="14">
        <v>79976.429999999993</v>
      </c>
      <c r="V10" s="13">
        <v>52127</v>
      </c>
      <c r="W10" s="11"/>
      <c r="X10" s="15"/>
      <c r="Y10" s="11"/>
    </row>
    <row r="11" spans="1:26" x14ac:dyDescent="0.2">
      <c r="A11" s="3" t="s">
        <v>183</v>
      </c>
      <c r="C11" s="12">
        <v>4</v>
      </c>
      <c r="D11" s="13">
        <f>Notes!G43</f>
        <v>122.99</v>
      </c>
      <c r="F11" s="13">
        <f>Notes!I43</f>
        <v>227.91</v>
      </c>
      <c r="H11" s="14">
        <f>F11+D11</f>
        <v>350.9</v>
      </c>
      <c r="I11" s="14"/>
      <c r="J11" s="14">
        <v>323.89999999999998</v>
      </c>
      <c r="K11" s="14"/>
      <c r="L11" s="14">
        <v>250</v>
      </c>
      <c r="M11" s="14"/>
      <c r="N11" s="14">
        <v>3392.74</v>
      </c>
      <c r="P11" s="14">
        <v>718.33999999999992</v>
      </c>
      <c r="R11" s="14">
        <v>781</v>
      </c>
      <c r="S11" s="14"/>
      <c r="T11" s="14">
        <v>1098.05</v>
      </c>
      <c r="V11" s="13">
        <v>3141</v>
      </c>
      <c r="W11" s="11"/>
      <c r="X11" s="15"/>
      <c r="Y11" s="11"/>
    </row>
    <row r="12" spans="1:26" x14ac:dyDescent="0.2">
      <c r="A12" s="3" t="s">
        <v>184</v>
      </c>
      <c r="D12" s="13">
        <f>'QB_Funds Analysis raw'!Y107</f>
        <v>459.35</v>
      </c>
      <c r="F12" s="13">
        <f>0</f>
        <v>0</v>
      </c>
      <c r="H12" s="14">
        <f>F12+D12</f>
        <v>459.35</v>
      </c>
      <c r="I12" s="14"/>
      <c r="J12" s="14">
        <v>13.75</v>
      </c>
      <c r="K12" s="14"/>
      <c r="L12" s="14">
        <v>48.49</v>
      </c>
      <c r="M12" s="14"/>
      <c r="N12" s="14">
        <v>160.77000000000001</v>
      </c>
      <c r="P12" s="14">
        <v>109.78</v>
      </c>
      <c r="R12" s="14">
        <v>49.819999999999993</v>
      </c>
      <c r="S12" s="14"/>
      <c r="T12" s="14">
        <v>118.73</v>
      </c>
      <c r="V12" s="13">
        <v>177</v>
      </c>
      <c r="W12" s="11"/>
      <c r="X12" s="15"/>
      <c r="Y12" s="11"/>
    </row>
    <row r="13" spans="1:26" x14ac:dyDescent="0.2">
      <c r="D13" s="13"/>
      <c r="F13" s="13"/>
      <c r="H13" s="14"/>
      <c r="I13" s="14"/>
      <c r="J13" s="14"/>
      <c r="K13" s="14"/>
      <c r="L13" s="14"/>
      <c r="M13" s="14"/>
      <c r="N13" s="14"/>
      <c r="P13" s="14"/>
      <c r="R13" s="14"/>
      <c r="S13" s="14"/>
      <c r="T13" s="14"/>
      <c r="V13" s="13"/>
      <c r="W13" s="11"/>
      <c r="X13" s="15"/>
      <c r="Y13" s="11"/>
    </row>
    <row r="14" spans="1:26" ht="15" x14ac:dyDescent="0.25">
      <c r="A14" s="3" t="s">
        <v>185</v>
      </c>
      <c r="D14" s="238">
        <f>SUM(D9:D13)</f>
        <v>94256.700000000012</v>
      </c>
      <c r="E14" s="230"/>
      <c r="F14" s="238">
        <f>SUM(F9:F13)</f>
        <v>20311.16</v>
      </c>
      <c r="G14" s="230"/>
      <c r="H14" s="238">
        <f>SUM(H9:H13)-1</f>
        <v>114567.86000000002</v>
      </c>
      <c r="I14" s="239"/>
      <c r="J14" s="238">
        <v>112519.94</v>
      </c>
      <c r="K14" s="239"/>
      <c r="L14" s="238">
        <v>111270.3</v>
      </c>
      <c r="M14" s="239"/>
      <c r="N14" s="238">
        <v>101354.62000000002</v>
      </c>
      <c r="O14" s="230"/>
      <c r="P14" s="238">
        <v>95853.780000000013</v>
      </c>
      <c r="Q14" s="230"/>
      <c r="R14" s="238">
        <v>92841.299999999988</v>
      </c>
      <c r="S14" s="239"/>
      <c r="T14" s="238">
        <v>101421.38999999998</v>
      </c>
      <c r="U14" s="230"/>
      <c r="V14" s="238">
        <f>SUM(V9:V13)</f>
        <v>95671</v>
      </c>
      <c r="W14" s="240"/>
      <c r="X14" s="15"/>
      <c r="Y14" s="15"/>
    </row>
    <row r="15" spans="1:26" ht="15" x14ac:dyDescent="0.25">
      <c r="D15" s="239"/>
      <c r="E15" s="230"/>
      <c r="F15" s="239"/>
      <c r="G15" s="230"/>
      <c r="H15" s="239"/>
      <c r="I15" s="239"/>
      <c r="J15" s="239"/>
      <c r="K15" s="239"/>
      <c r="L15" s="239"/>
      <c r="M15" s="239"/>
      <c r="N15" s="239"/>
      <c r="O15" s="230"/>
      <c r="P15" s="239"/>
      <c r="Q15" s="230"/>
      <c r="R15" s="239"/>
      <c r="S15" s="239"/>
      <c r="T15" s="239"/>
      <c r="U15" s="230"/>
      <c r="V15" s="239"/>
      <c r="W15" s="240"/>
      <c r="X15" s="15"/>
      <c r="Y15" s="11"/>
    </row>
    <row r="16" spans="1:26" ht="15" x14ac:dyDescent="0.25">
      <c r="A16" s="230" t="s">
        <v>165</v>
      </c>
      <c r="D16" s="239"/>
      <c r="E16" s="230"/>
      <c r="F16" s="239"/>
      <c r="G16" s="230"/>
      <c r="H16" s="239"/>
      <c r="I16" s="239"/>
      <c r="J16" s="239"/>
      <c r="K16" s="239"/>
      <c r="L16" s="239"/>
      <c r="M16" s="239"/>
      <c r="N16" s="239"/>
      <c r="O16" s="230"/>
      <c r="P16" s="239"/>
      <c r="Q16" s="230"/>
      <c r="R16" s="239"/>
      <c r="S16" s="239"/>
      <c r="T16" s="239"/>
      <c r="U16" s="230"/>
      <c r="V16" s="239"/>
      <c r="W16" s="240"/>
      <c r="X16" s="15"/>
      <c r="Y16" s="11"/>
    </row>
    <row r="17" spans="1:25" x14ac:dyDescent="0.2">
      <c r="H17" s="10"/>
      <c r="I17" s="10"/>
      <c r="J17" s="10"/>
      <c r="K17" s="10"/>
      <c r="L17" s="10"/>
      <c r="M17" s="10"/>
      <c r="N17" s="10"/>
      <c r="P17" s="10"/>
      <c r="R17" s="10"/>
      <c r="S17" s="10"/>
      <c r="T17" s="10"/>
      <c r="W17" s="11"/>
      <c r="X17" s="11"/>
      <c r="Y17" s="11"/>
    </row>
    <row r="18" spans="1:25" x14ac:dyDescent="0.2">
      <c r="A18" s="3" t="s">
        <v>186</v>
      </c>
      <c r="D18" s="13">
        <v>0</v>
      </c>
      <c r="F18" s="13">
        <v>0</v>
      </c>
      <c r="H18" s="14">
        <f>F18+D18</f>
        <v>0</v>
      </c>
      <c r="I18" s="14"/>
      <c r="J18" s="14">
        <v>0</v>
      </c>
      <c r="K18" s="14"/>
      <c r="L18" s="14">
        <v>0</v>
      </c>
      <c r="M18" s="14"/>
      <c r="N18" s="14">
        <v>0</v>
      </c>
      <c r="P18" s="14">
        <v>0</v>
      </c>
      <c r="R18" s="14">
        <v>0</v>
      </c>
      <c r="S18" s="14"/>
      <c r="T18" s="14">
        <v>0</v>
      </c>
      <c r="V18" s="13">
        <v>775</v>
      </c>
      <c r="W18" s="11"/>
      <c r="X18" s="15"/>
      <c r="Y18" s="11"/>
    </row>
    <row r="19" spans="1:25" x14ac:dyDescent="0.2">
      <c r="A19" s="3" t="s">
        <v>182</v>
      </c>
      <c r="C19" s="12">
        <v>5</v>
      </c>
      <c r="D19" s="13">
        <f>Notes!G67</f>
        <v>110354.63</v>
      </c>
      <c r="F19" s="13">
        <f>Notes!I67</f>
        <v>23510.09</v>
      </c>
      <c r="H19" s="14">
        <f>F19+D19</f>
        <v>133864.72</v>
      </c>
      <c r="I19" s="14"/>
      <c r="J19" s="14">
        <v>123471.61999999998</v>
      </c>
      <c r="K19" s="14"/>
      <c r="L19" s="14">
        <v>105227.50000000001</v>
      </c>
      <c r="M19" s="14"/>
      <c r="N19" s="14">
        <v>116094.84999999999</v>
      </c>
      <c r="P19" s="14">
        <v>94701.98000000001</v>
      </c>
      <c r="R19" s="14">
        <v>80686</v>
      </c>
      <c r="S19" s="14"/>
      <c r="T19" s="14">
        <v>79849.600000000006</v>
      </c>
      <c r="V19" s="13">
        <v>95135</v>
      </c>
      <c r="W19" s="11"/>
      <c r="X19" s="15"/>
      <c r="Y19" s="11"/>
    </row>
    <row r="20" spans="1:25" hidden="1" x14ac:dyDescent="0.2">
      <c r="A20" s="3" t="s">
        <v>117</v>
      </c>
      <c r="D20" s="13"/>
      <c r="F20" s="13"/>
      <c r="H20" s="14">
        <f>F20+D20</f>
        <v>0</v>
      </c>
      <c r="I20" s="14"/>
      <c r="J20" s="14">
        <v>0</v>
      </c>
      <c r="K20" s="14"/>
      <c r="L20" s="14">
        <v>0</v>
      </c>
      <c r="M20" s="14"/>
      <c r="N20" s="14">
        <v>0</v>
      </c>
      <c r="P20" s="14">
        <v>0</v>
      </c>
      <c r="R20" s="14">
        <v>0</v>
      </c>
      <c r="S20" s="14"/>
      <c r="T20" s="14">
        <v>0</v>
      </c>
      <c r="V20" s="13">
        <v>0</v>
      </c>
      <c r="W20" s="11"/>
      <c r="X20" s="15"/>
      <c r="Y20" s="11"/>
    </row>
    <row r="21" spans="1:25" x14ac:dyDescent="0.2">
      <c r="A21" s="3" t="s">
        <v>187</v>
      </c>
      <c r="D21" s="13">
        <f>'QB_Funds Analysis raw'!X114</f>
        <v>1280.24</v>
      </c>
      <c r="F21" s="13">
        <f>'QB_Funds Analysis raw'!N114</f>
        <v>825.71</v>
      </c>
      <c r="H21" s="14">
        <f>F21+D21</f>
        <v>2105.9499999999998</v>
      </c>
      <c r="I21" s="14"/>
      <c r="J21" s="14">
        <v>1728.97</v>
      </c>
      <c r="K21" s="14"/>
      <c r="L21" s="14">
        <v>2071.06</v>
      </c>
      <c r="M21" s="14"/>
      <c r="N21" s="14">
        <v>2447.2600000000002</v>
      </c>
      <c r="P21" s="14">
        <v>3447.67</v>
      </c>
      <c r="R21" s="14">
        <v>2817.12</v>
      </c>
      <c r="S21" s="14"/>
      <c r="T21" s="14">
        <v>2738.62</v>
      </c>
      <c r="V21" s="13">
        <v>1748</v>
      </c>
      <c r="W21" s="11"/>
      <c r="X21" s="15"/>
      <c r="Y21" s="11"/>
    </row>
    <row r="22" spans="1:25" x14ac:dyDescent="0.2">
      <c r="A22" s="3" t="s">
        <v>632</v>
      </c>
      <c r="D22" s="13">
        <f>'QB_Funds Analysis raw'!X115</f>
        <v>375</v>
      </c>
      <c r="F22" s="13"/>
      <c r="H22" s="14">
        <f>F22+D22</f>
        <v>375</v>
      </c>
      <c r="I22" s="14"/>
      <c r="J22" s="14"/>
      <c r="K22" s="14"/>
      <c r="L22" s="14"/>
      <c r="M22" s="14"/>
      <c r="N22" s="14"/>
      <c r="P22" s="14"/>
      <c r="R22" s="14"/>
      <c r="S22" s="14"/>
      <c r="T22" s="14"/>
      <c r="V22" s="13"/>
      <c r="W22" s="11"/>
      <c r="X22" s="15"/>
      <c r="Y22" s="11"/>
    </row>
    <row r="23" spans="1:25" x14ac:dyDescent="0.2">
      <c r="H23" s="10"/>
      <c r="I23" s="10"/>
      <c r="J23" s="10"/>
      <c r="K23" s="10"/>
      <c r="L23" s="10"/>
      <c r="M23" s="10"/>
      <c r="N23" s="10"/>
      <c r="P23" s="10"/>
      <c r="R23" s="10"/>
      <c r="S23" s="10"/>
      <c r="T23" s="10"/>
      <c r="W23" s="11"/>
      <c r="X23" s="11"/>
      <c r="Y23" s="11"/>
    </row>
    <row r="24" spans="1:25" ht="15" x14ac:dyDescent="0.25">
      <c r="A24" s="3" t="s">
        <v>188</v>
      </c>
      <c r="D24" s="238">
        <f>SUM(D18:D23)</f>
        <v>112009.87000000001</v>
      </c>
      <c r="E24" s="230"/>
      <c r="F24" s="238">
        <f>SUM(F18:F23)</f>
        <v>24335.8</v>
      </c>
      <c r="G24" s="230"/>
      <c r="H24" s="238">
        <f>SUM(H18:H23)</f>
        <v>136345.67000000001</v>
      </c>
      <c r="I24" s="239"/>
      <c r="J24" s="238">
        <v>125200.58999999998</v>
      </c>
      <c r="K24" s="239"/>
      <c r="L24" s="238">
        <v>107298.56000000001</v>
      </c>
      <c r="M24" s="239"/>
      <c r="N24" s="238">
        <v>118542.10999999999</v>
      </c>
      <c r="O24" s="230"/>
      <c r="P24" s="238">
        <v>98149.650000000009</v>
      </c>
      <c r="Q24" s="230"/>
      <c r="R24" s="238">
        <v>83503</v>
      </c>
      <c r="S24" s="239"/>
      <c r="T24" s="238">
        <v>82588.22</v>
      </c>
      <c r="U24" s="230"/>
      <c r="V24" s="238">
        <f>SUM(V18:V23)</f>
        <v>97658</v>
      </c>
      <c r="W24" s="240"/>
      <c r="X24" s="15"/>
      <c r="Y24" s="15"/>
    </row>
    <row r="25" spans="1:25" x14ac:dyDescent="0.2">
      <c r="H25" s="10"/>
      <c r="I25" s="10"/>
      <c r="J25" s="10"/>
      <c r="K25" s="10"/>
      <c r="L25" s="10"/>
      <c r="M25" s="10"/>
      <c r="N25" s="10"/>
      <c r="P25" s="10"/>
      <c r="R25" s="10"/>
      <c r="S25" s="10"/>
      <c r="T25" s="10"/>
      <c r="W25" s="11"/>
      <c r="X25" s="11"/>
      <c r="Y25" s="11"/>
    </row>
    <row r="26" spans="1:25" ht="15" x14ac:dyDescent="0.25">
      <c r="A26" s="10" t="s">
        <v>189</v>
      </c>
      <c r="D26" s="239">
        <f>D14-D24</f>
        <v>-17753.169999999998</v>
      </c>
      <c r="E26" s="230"/>
      <c r="F26" s="239">
        <f>F14-F24</f>
        <v>-4024.6399999999994</v>
      </c>
      <c r="G26" s="230"/>
      <c r="H26" s="239">
        <f>H14-H24</f>
        <v>-21777.809999999998</v>
      </c>
      <c r="I26" s="239"/>
      <c r="J26" s="239">
        <v>-12680.64999999998</v>
      </c>
      <c r="K26" s="239"/>
      <c r="L26" s="239">
        <v>3970.7399999999907</v>
      </c>
      <c r="M26" s="239"/>
      <c r="N26" s="239">
        <v>-17187.489999999962</v>
      </c>
      <c r="O26" s="230"/>
      <c r="P26" s="239">
        <v>-2295.8699999999953</v>
      </c>
      <c r="Q26" s="230"/>
      <c r="R26" s="239">
        <v>9338</v>
      </c>
      <c r="S26" s="239"/>
      <c r="T26" s="239">
        <v>18833.169999999984</v>
      </c>
      <c r="U26" s="230"/>
      <c r="V26" s="239">
        <f>V14-V24</f>
        <v>-1987</v>
      </c>
      <c r="W26" s="240"/>
      <c r="X26" s="15"/>
      <c r="Y26" s="15"/>
    </row>
    <row r="27" spans="1:25" ht="15" x14ac:dyDescent="0.25">
      <c r="A27" s="10"/>
      <c r="D27" s="239"/>
      <c r="E27" s="230"/>
      <c r="F27" s="239"/>
      <c r="G27" s="230"/>
      <c r="H27" s="239"/>
      <c r="I27" s="239"/>
      <c r="J27" s="239"/>
      <c r="K27" s="239"/>
      <c r="L27" s="239"/>
      <c r="M27" s="239"/>
      <c r="N27" s="239"/>
      <c r="O27" s="230"/>
      <c r="P27" s="239"/>
      <c r="Q27" s="230"/>
      <c r="R27" s="239"/>
      <c r="S27" s="239"/>
      <c r="T27" s="239"/>
      <c r="U27" s="230"/>
      <c r="V27" s="239"/>
      <c r="W27" s="240"/>
      <c r="X27" s="15"/>
      <c r="Y27" s="15"/>
    </row>
    <row r="28" spans="1:25" ht="15" x14ac:dyDescent="0.25">
      <c r="A28" s="10" t="s">
        <v>190</v>
      </c>
      <c r="D28" s="239">
        <v>0</v>
      </c>
      <c r="E28" s="230"/>
      <c r="F28" s="239">
        <v>0</v>
      </c>
      <c r="G28" s="230"/>
      <c r="H28" s="239">
        <v>0</v>
      </c>
      <c r="I28" s="239"/>
      <c r="J28" s="239">
        <v>0</v>
      </c>
      <c r="K28" s="239"/>
      <c r="L28" s="239">
        <v>0</v>
      </c>
      <c r="M28" s="239"/>
      <c r="N28" s="239">
        <v>0</v>
      </c>
      <c r="O28" s="230"/>
      <c r="P28" s="239">
        <v>0</v>
      </c>
      <c r="Q28" s="230"/>
      <c r="R28" s="239">
        <v>0</v>
      </c>
      <c r="S28" s="239"/>
      <c r="T28" s="239">
        <v>0</v>
      </c>
      <c r="U28" s="230"/>
      <c r="V28" s="239">
        <v>0</v>
      </c>
      <c r="W28" s="240"/>
      <c r="X28" s="15"/>
      <c r="Y28" s="15"/>
    </row>
    <row r="29" spans="1:25" x14ac:dyDescent="0.2">
      <c r="W29" s="11"/>
      <c r="X29" s="11"/>
      <c r="Y29" s="11"/>
    </row>
    <row r="30" spans="1:25" x14ac:dyDescent="0.2">
      <c r="A30" s="10" t="s">
        <v>191</v>
      </c>
      <c r="D30" s="13">
        <f>D28+D26</f>
        <v>-17753.169999999998</v>
      </c>
      <c r="F30" s="13">
        <f>F28+F26</f>
        <v>-4024.6399999999994</v>
      </c>
      <c r="H30" s="13">
        <f>H28+H26</f>
        <v>-21777.809999999998</v>
      </c>
      <c r="I30" s="13"/>
      <c r="J30" s="13">
        <v>-12680.64999999998</v>
      </c>
      <c r="K30" s="13"/>
      <c r="L30" s="13">
        <v>3970.7399999999907</v>
      </c>
      <c r="M30" s="13"/>
      <c r="N30" s="13">
        <v>-17187.489999999962</v>
      </c>
      <c r="P30" s="13">
        <v>-2295.8699999999953</v>
      </c>
      <c r="R30" s="13">
        <v>9338</v>
      </c>
      <c r="S30" s="13"/>
      <c r="T30" s="13">
        <v>18833.169999999984</v>
      </c>
      <c r="V30" s="13">
        <f>V28+V26</f>
        <v>-1987</v>
      </c>
      <c r="W30" s="11"/>
      <c r="X30" s="11"/>
      <c r="Y30" s="11"/>
    </row>
    <row r="31" spans="1:25" x14ac:dyDescent="0.2">
      <c r="W31" s="11"/>
      <c r="X31" s="11"/>
      <c r="Y31" s="11"/>
    </row>
    <row r="32" spans="1:25" x14ac:dyDescent="0.2">
      <c r="A32" s="10" t="s">
        <v>192</v>
      </c>
      <c r="W32" s="11"/>
      <c r="X32" s="11"/>
      <c r="Y32" s="11"/>
    </row>
    <row r="33" spans="1:25" x14ac:dyDescent="0.2">
      <c r="W33" s="11"/>
      <c r="X33" s="11"/>
      <c r="Y33" s="11"/>
    </row>
    <row r="34" spans="1:25" ht="15" x14ac:dyDescent="0.25">
      <c r="A34" s="10" t="s">
        <v>630</v>
      </c>
      <c r="B34" s="10"/>
      <c r="C34" s="10"/>
      <c r="D34" s="14">
        <v>42550.700000000026</v>
      </c>
      <c r="E34" s="14"/>
      <c r="F34" s="14">
        <v>31982.9</v>
      </c>
      <c r="G34" s="10"/>
      <c r="H34" s="239">
        <v>74533.870000000054</v>
      </c>
      <c r="I34" s="239"/>
      <c r="J34" s="239">
        <v>87214.520000000033</v>
      </c>
      <c r="K34" s="239"/>
      <c r="L34" s="239">
        <v>83243.780000000042</v>
      </c>
      <c r="M34" s="239"/>
      <c r="N34" s="239">
        <v>100431.27</v>
      </c>
      <c r="O34" s="10"/>
      <c r="P34" s="239">
        <v>102727.14</v>
      </c>
      <c r="Q34" s="10"/>
      <c r="R34" s="239">
        <v>93389.17</v>
      </c>
      <c r="S34" s="239"/>
      <c r="T34" s="239">
        <v>74556</v>
      </c>
      <c r="V34" s="14">
        <v>76543</v>
      </c>
      <c r="X34" s="11">
        <v>0</v>
      </c>
      <c r="Y34" s="11"/>
    </row>
    <row r="36" spans="1:25" ht="13.5" thickBot="1" x14ac:dyDescent="0.25">
      <c r="A36" s="10" t="s">
        <v>631</v>
      </c>
      <c r="D36" s="241">
        <f>D34+D30</f>
        <v>24797.530000000028</v>
      </c>
      <c r="F36" s="241">
        <f>F34+F30</f>
        <v>27958.260000000002</v>
      </c>
      <c r="H36" s="241">
        <f>H30+H34</f>
        <v>52756.060000000056</v>
      </c>
      <c r="I36" s="14"/>
      <c r="J36" s="241">
        <v>74533.870000000054</v>
      </c>
      <c r="K36" s="14"/>
      <c r="L36" s="241">
        <v>87214.520000000033</v>
      </c>
      <c r="M36" s="14"/>
      <c r="N36" s="241">
        <v>83243.780000000042</v>
      </c>
      <c r="P36" s="241">
        <v>100431.27</v>
      </c>
      <c r="R36" s="241">
        <v>102727</v>
      </c>
      <c r="S36" s="14"/>
      <c r="T36" s="241">
        <v>93389.169999999984</v>
      </c>
      <c r="V36" s="241">
        <v>74556</v>
      </c>
    </row>
    <row r="37" spans="1:25" ht="13.5" thickTop="1" x14ac:dyDescent="0.2"/>
    <row r="38" spans="1:25" x14ac:dyDescent="0.2">
      <c r="P38" s="13"/>
    </row>
    <row r="41" spans="1:25" x14ac:dyDescent="0.2">
      <c r="D41" s="13"/>
    </row>
    <row r="42" spans="1:25" x14ac:dyDescent="0.2">
      <c r="D42" s="13"/>
    </row>
    <row r="43" spans="1:25" x14ac:dyDescent="0.2">
      <c r="D43" s="13"/>
    </row>
    <row r="44" spans="1:25" x14ac:dyDescent="0.2">
      <c r="D44" s="13"/>
    </row>
    <row r="45" spans="1:25" x14ac:dyDescent="0.2">
      <c r="D45" s="13"/>
    </row>
    <row r="46" spans="1:25" x14ac:dyDescent="0.2">
      <c r="D46" s="13"/>
    </row>
    <row r="47" spans="1:25" x14ac:dyDescent="0.2">
      <c r="D47" s="13"/>
    </row>
    <row r="48" spans="1:25" x14ac:dyDescent="0.2">
      <c r="D48" s="13"/>
    </row>
    <row r="49" spans="1:4" x14ac:dyDescent="0.2">
      <c r="D49" s="13"/>
    </row>
    <row r="50" spans="1:4" x14ac:dyDescent="0.2">
      <c r="D50" s="13"/>
    </row>
    <row r="51" spans="1:4" x14ac:dyDescent="0.2">
      <c r="D51" s="13"/>
    </row>
    <row r="52" spans="1:4" x14ac:dyDescent="0.2">
      <c r="D52" s="13"/>
    </row>
    <row r="53" spans="1:4" x14ac:dyDescent="0.2">
      <c r="D53" s="13"/>
    </row>
    <row r="54" spans="1:4" x14ac:dyDescent="0.2">
      <c r="A54" s="10"/>
      <c r="B54" s="10"/>
      <c r="C54" s="10"/>
      <c r="D54" s="14"/>
    </row>
    <row r="55" spans="1:4" x14ac:dyDescent="0.2">
      <c r="D55" s="13"/>
    </row>
    <row r="56" spans="1:4" x14ac:dyDescent="0.2">
      <c r="D56" s="13"/>
    </row>
    <row r="57" spans="1:4" x14ac:dyDescent="0.2">
      <c r="D57" s="13"/>
    </row>
    <row r="58" spans="1:4" x14ac:dyDescent="0.2">
      <c r="D58" s="13"/>
    </row>
    <row r="59" spans="1:4" x14ac:dyDescent="0.2">
      <c r="D59" s="13"/>
    </row>
    <row r="60" spans="1:4" x14ac:dyDescent="0.2">
      <c r="D60" s="13"/>
    </row>
    <row r="61" spans="1:4" x14ac:dyDescent="0.2">
      <c r="A61" s="10"/>
      <c r="B61" s="10"/>
      <c r="C61" s="10"/>
      <c r="D61" s="14"/>
    </row>
  </sheetData>
  <mergeCells count="1">
    <mergeCell ref="D4:P4"/>
  </mergeCells>
  <pageMargins left="0.25" right="0.25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AI210"/>
  <sheetViews>
    <sheetView tabSelected="1" topLeftCell="B169" workbookViewId="0">
      <selection activeCell="O190" sqref="O190"/>
    </sheetView>
  </sheetViews>
  <sheetFormatPr defaultColWidth="9.140625" defaultRowHeight="12.75" x14ac:dyDescent="0.2"/>
  <cols>
    <col min="1" max="1" width="9.140625" style="71"/>
    <col min="2" max="2" width="38.85546875" style="70" customWidth="1"/>
    <col min="3" max="5" width="9.140625" style="70"/>
    <col min="6" max="6" width="5.5703125" style="70" customWidth="1"/>
    <col min="7" max="7" width="11.85546875" style="70" customWidth="1"/>
    <col min="8" max="8" width="3.85546875" style="70" customWidth="1"/>
    <col min="9" max="9" width="10.28515625" style="70" customWidth="1"/>
    <col min="10" max="10" width="4.140625" style="70" customWidth="1"/>
    <col min="11" max="11" width="9.7109375" style="70" customWidth="1"/>
    <col min="12" max="12" width="4.28515625" style="70" customWidth="1"/>
    <col min="13" max="13" width="9.7109375" style="70" customWidth="1"/>
    <col min="14" max="14" width="3.85546875" style="70" customWidth="1"/>
    <col min="15" max="15" width="9.7109375" style="70" customWidth="1"/>
    <col min="16" max="16" width="4.42578125" style="70" customWidth="1"/>
    <col min="17" max="17" width="9.42578125" style="70" customWidth="1"/>
    <col min="18" max="18" width="3.5703125" style="70" customWidth="1"/>
    <col min="19" max="19" width="11.85546875" style="70" customWidth="1"/>
    <col min="20" max="20" width="1.42578125" style="70" customWidth="1"/>
    <col min="21" max="21" width="9.140625" style="70"/>
    <col min="22" max="22" width="3" style="70" customWidth="1"/>
    <col min="23" max="23" width="9.140625" style="70"/>
    <col min="24" max="24" width="2.5703125" style="70" customWidth="1"/>
    <col min="25" max="16384" width="9.140625" style="70"/>
  </cols>
  <sheetData>
    <row r="1" spans="1:35" s="4" customFormat="1" x14ac:dyDescent="0.2">
      <c r="A1" s="6" t="s">
        <v>105</v>
      </c>
    </row>
    <row r="2" spans="1:35" s="4" customFormat="1" x14ac:dyDescent="0.2">
      <c r="A2" s="6"/>
    </row>
    <row r="3" spans="1:35" s="4" customFormat="1" x14ac:dyDescent="0.2">
      <c r="A3" s="6" t="s">
        <v>106</v>
      </c>
    </row>
    <row r="4" spans="1:35" s="4" customFormat="1" x14ac:dyDescent="0.2">
      <c r="A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35" s="4" customFormat="1" x14ac:dyDescent="0.2">
      <c r="A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35" s="4" customFormat="1" x14ac:dyDescent="0.2">
      <c r="A6" s="5">
        <v>2</v>
      </c>
      <c r="B6" s="6" t="s">
        <v>107</v>
      </c>
      <c r="G6" s="107" t="s">
        <v>3</v>
      </c>
      <c r="H6" s="107"/>
      <c r="I6" s="107" t="s">
        <v>2</v>
      </c>
      <c r="J6" s="108"/>
      <c r="K6" s="107" t="s">
        <v>108</v>
      </c>
      <c r="L6" s="107"/>
      <c r="M6" s="107" t="s">
        <v>108</v>
      </c>
      <c r="N6" s="108"/>
      <c r="O6" s="107" t="s">
        <v>108</v>
      </c>
      <c r="P6" s="108"/>
      <c r="Q6" s="107" t="s">
        <v>108</v>
      </c>
      <c r="R6" s="107"/>
      <c r="S6" s="107" t="s">
        <v>108</v>
      </c>
      <c r="T6" s="107"/>
      <c r="U6" s="107" t="s">
        <v>108</v>
      </c>
      <c r="V6" s="107"/>
      <c r="W6" s="107" t="s">
        <v>108</v>
      </c>
      <c r="X6" s="5"/>
      <c r="Y6" s="107" t="s">
        <v>108</v>
      </c>
    </row>
    <row r="7" spans="1:35" s="4" customFormat="1" x14ac:dyDescent="0.2">
      <c r="A7" s="5"/>
      <c r="G7" s="107" t="s">
        <v>109</v>
      </c>
      <c r="H7" s="107"/>
      <c r="I7" s="107" t="s">
        <v>109</v>
      </c>
      <c r="J7" s="108"/>
      <c r="K7" s="109">
        <v>2023</v>
      </c>
      <c r="L7" s="109"/>
      <c r="M7" s="109">
        <v>2022</v>
      </c>
      <c r="N7" s="108"/>
      <c r="O7" s="109">
        <v>2021</v>
      </c>
      <c r="P7" s="108"/>
      <c r="Q7" s="109">
        <v>2020</v>
      </c>
      <c r="R7" s="109"/>
      <c r="S7" s="109">
        <v>2019</v>
      </c>
      <c r="T7" s="109"/>
      <c r="U7" s="109">
        <v>2018</v>
      </c>
      <c r="V7" s="109"/>
      <c r="W7" s="109">
        <v>2017</v>
      </c>
      <c r="X7" s="5"/>
      <c r="Y7" s="109">
        <v>2016</v>
      </c>
    </row>
    <row r="8" spans="1:35" s="4" customFormat="1" x14ac:dyDescent="0.2">
      <c r="A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35" s="4" customFormat="1" x14ac:dyDescent="0.2">
      <c r="A9" s="5"/>
      <c r="B9" s="4" t="s">
        <v>107</v>
      </c>
      <c r="G9" s="108">
        <f>'QB_Funds Analysis'!AB10</f>
        <v>2409.6799999999998</v>
      </c>
      <c r="H9" s="5"/>
      <c r="I9" s="110">
        <f>'QB_Funds Analysis'!Q10</f>
        <v>2976.99</v>
      </c>
      <c r="J9" s="5"/>
      <c r="K9" s="110">
        <f>I9+G9</f>
        <v>5386.67</v>
      </c>
      <c r="L9" s="110"/>
      <c r="M9" s="110">
        <v>28311.78</v>
      </c>
      <c r="N9" s="5"/>
      <c r="O9" s="110">
        <v>14976.62</v>
      </c>
      <c r="P9" s="5"/>
      <c r="Q9" s="110">
        <v>13242.57</v>
      </c>
      <c r="R9" s="110"/>
      <c r="S9" s="110">
        <v>10286.31</v>
      </c>
      <c r="T9" s="110"/>
      <c r="U9" s="110">
        <v>19691.36</v>
      </c>
      <c r="V9" s="110"/>
      <c r="W9" s="110">
        <v>20228.18</v>
      </c>
      <c r="X9" s="5"/>
      <c r="Y9" s="111">
        <v>5826</v>
      </c>
      <c r="AB9" s="112"/>
      <c r="AI9" s="113"/>
    </row>
    <row r="10" spans="1:35" s="4" customFormat="1" x14ac:dyDescent="0.2">
      <c r="A10" s="5"/>
      <c r="B10" s="4" t="s">
        <v>598</v>
      </c>
      <c r="G10" s="108">
        <v>0</v>
      </c>
      <c r="H10" s="5"/>
      <c r="I10" s="110">
        <f>'QB_Funds Analysis raw'!N9</f>
        <v>1094.79</v>
      </c>
      <c r="J10" s="5"/>
      <c r="K10" s="110">
        <f>I10+G10</f>
        <v>1094.79</v>
      </c>
      <c r="L10" s="110"/>
      <c r="M10" s="110"/>
      <c r="N10" s="5"/>
      <c r="O10" s="110"/>
      <c r="P10" s="5"/>
      <c r="Q10" s="110"/>
      <c r="R10" s="110"/>
      <c r="S10" s="110"/>
      <c r="T10" s="110"/>
      <c r="U10" s="110"/>
      <c r="V10" s="110"/>
      <c r="W10" s="110"/>
      <c r="X10" s="5"/>
      <c r="Y10" s="111"/>
      <c r="AB10" s="112"/>
      <c r="AI10" s="113"/>
    </row>
    <row r="11" spans="1:35" s="4" customFormat="1" x14ac:dyDescent="0.2">
      <c r="A11" s="5"/>
      <c r="B11" s="4" t="s">
        <v>110</v>
      </c>
      <c r="G11" s="108">
        <v>0</v>
      </c>
      <c r="H11" s="5"/>
      <c r="I11" s="110">
        <v>0</v>
      </c>
      <c r="J11" s="5"/>
      <c r="K11" s="110">
        <f t="shared" ref="K11:K12" si="0">I11+G11</f>
        <v>0</v>
      </c>
      <c r="L11" s="110"/>
      <c r="M11" s="110">
        <v>0</v>
      </c>
      <c r="N11" s="5"/>
      <c r="O11" s="110">
        <v>0</v>
      </c>
      <c r="P11" s="5"/>
      <c r="Q11" s="110">
        <v>0</v>
      </c>
      <c r="R11" s="110"/>
      <c r="S11" s="110">
        <v>0</v>
      </c>
      <c r="T11" s="110"/>
      <c r="U11" s="110">
        <v>0</v>
      </c>
      <c r="V11" s="110"/>
      <c r="W11" s="110">
        <v>0</v>
      </c>
      <c r="X11" s="5"/>
      <c r="Y11" s="111">
        <v>30000</v>
      </c>
      <c r="AI11" s="113"/>
    </row>
    <row r="12" spans="1:35" s="4" customFormat="1" x14ac:dyDescent="0.2">
      <c r="A12" s="5"/>
      <c r="B12" s="4" t="s">
        <v>111</v>
      </c>
      <c r="G12" s="108">
        <v>0</v>
      </c>
      <c r="H12" s="5"/>
      <c r="I12" s="110">
        <v>0</v>
      </c>
      <c r="J12" s="5"/>
      <c r="K12" s="110">
        <f t="shared" si="0"/>
        <v>0</v>
      </c>
      <c r="L12" s="110"/>
      <c r="M12" s="110">
        <v>0</v>
      </c>
      <c r="N12" s="5"/>
      <c r="O12" s="110">
        <v>0</v>
      </c>
      <c r="P12" s="5"/>
      <c r="Q12" s="110">
        <v>0</v>
      </c>
      <c r="R12" s="110"/>
      <c r="S12" s="110">
        <v>0</v>
      </c>
      <c r="T12" s="110"/>
      <c r="U12" s="110">
        <v>0</v>
      </c>
      <c r="V12" s="110"/>
      <c r="W12" s="110">
        <v>0</v>
      </c>
      <c r="X12" s="5"/>
      <c r="Y12" s="111">
        <v>4400</v>
      </c>
      <c r="AB12" s="108"/>
      <c r="AI12" s="113"/>
    </row>
    <row r="13" spans="1:35" s="4" customFormat="1" x14ac:dyDescent="0.2">
      <c r="A13" s="5"/>
      <c r="H13" s="5"/>
      <c r="I13" s="110"/>
      <c r="J13" s="5"/>
      <c r="K13" s="114"/>
      <c r="L13" s="114"/>
      <c r="M13" s="114"/>
      <c r="N13" s="5"/>
      <c r="O13" s="114"/>
      <c r="P13" s="5"/>
      <c r="Q13" s="114"/>
      <c r="R13" s="114"/>
      <c r="S13" s="114"/>
      <c r="T13" s="114"/>
      <c r="U13" s="114"/>
      <c r="V13" s="114"/>
      <c r="W13" s="114"/>
      <c r="X13" s="5"/>
      <c r="Y13" s="111"/>
      <c r="AI13" s="113"/>
    </row>
    <row r="14" spans="1:35" s="4" customFormat="1" x14ac:dyDescent="0.2">
      <c r="A14" s="5"/>
      <c r="G14" s="115">
        <f>SUM(G9:G13)</f>
        <v>2409.6799999999998</v>
      </c>
      <c r="H14" s="5"/>
      <c r="I14" s="116">
        <f>SUM(I9:I13)</f>
        <v>4071.7799999999997</v>
      </c>
      <c r="J14" s="5"/>
      <c r="K14" s="116">
        <f>SUM(K9:K13)+1</f>
        <v>6482.46</v>
      </c>
      <c r="L14" s="110"/>
      <c r="M14" s="115">
        <v>28311.78</v>
      </c>
      <c r="N14" s="5"/>
      <c r="O14" s="116">
        <v>14976.62</v>
      </c>
      <c r="P14" s="5"/>
      <c r="Q14" s="116">
        <v>13242.57</v>
      </c>
      <c r="R14" s="110"/>
      <c r="S14" s="116">
        <v>10286.31</v>
      </c>
      <c r="T14" s="110"/>
      <c r="U14" s="116">
        <v>19691.36</v>
      </c>
      <c r="V14" s="110"/>
      <c r="W14" s="116">
        <v>20228.18</v>
      </c>
      <c r="X14" s="5"/>
      <c r="Y14" s="117">
        <f>SUM(Y9:Y13)</f>
        <v>40226</v>
      </c>
      <c r="AI14" s="113"/>
    </row>
    <row r="15" spans="1:35" s="4" customFormat="1" x14ac:dyDescent="0.2">
      <c r="A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8"/>
      <c r="AI15" s="113"/>
    </row>
    <row r="16" spans="1:35" s="4" customFormat="1" x14ac:dyDescent="0.2">
      <c r="A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AI16" s="113"/>
    </row>
    <row r="17" spans="1:35" s="4" customFormat="1" x14ac:dyDescent="0.2">
      <c r="A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AI17" s="113"/>
    </row>
    <row r="18" spans="1:35" x14ac:dyDescent="0.2"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AI18" s="75"/>
    </row>
    <row r="19" spans="1:35" s="4" customFormat="1" x14ac:dyDescent="0.2">
      <c r="A19" s="5">
        <v>3</v>
      </c>
      <c r="B19" s="6" t="s">
        <v>112</v>
      </c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AI19" s="113"/>
    </row>
    <row r="20" spans="1:35" s="4" customFormat="1" x14ac:dyDescent="0.2">
      <c r="A20" s="5"/>
      <c r="G20" s="107" t="s">
        <v>3</v>
      </c>
      <c r="H20" s="107"/>
      <c r="I20" s="107" t="s">
        <v>2</v>
      </c>
      <c r="J20" s="108"/>
      <c r="K20" s="107" t="s">
        <v>108</v>
      </c>
      <c r="L20" s="107"/>
      <c r="M20" s="107" t="s">
        <v>108</v>
      </c>
      <c r="N20" s="108"/>
      <c r="O20" s="107" t="s">
        <v>108</v>
      </c>
      <c r="P20" s="108"/>
      <c r="Q20" s="107" t="s">
        <v>108</v>
      </c>
      <c r="R20" s="107"/>
      <c r="S20" s="107" t="s">
        <v>108</v>
      </c>
      <c r="T20" s="107"/>
      <c r="U20" s="107" t="s">
        <v>108</v>
      </c>
      <c r="V20" s="107"/>
      <c r="W20" s="107" t="s">
        <v>108</v>
      </c>
      <c r="Y20" s="107" t="s">
        <v>108</v>
      </c>
      <c r="AI20" s="113"/>
    </row>
    <row r="21" spans="1:35" s="4" customFormat="1" x14ac:dyDescent="0.2">
      <c r="A21" s="5"/>
      <c r="G21" s="107" t="s">
        <v>109</v>
      </c>
      <c r="H21" s="107"/>
      <c r="I21" s="107" t="s">
        <v>109</v>
      </c>
      <c r="J21" s="108"/>
      <c r="K21" s="109">
        <v>2023</v>
      </c>
      <c r="L21" s="109"/>
      <c r="M21" s="109">
        <v>2022</v>
      </c>
      <c r="N21" s="108"/>
      <c r="O21" s="109">
        <v>2021</v>
      </c>
      <c r="P21" s="108"/>
      <c r="Q21" s="109">
        <v>2020</v>
      </c>
      <c r="R21" s="109"/>
      <c r="S21" s="109">
        <v>2019</v>
      </c>
      <c r="T21" s="109"/>
      <c r="U21" s="109">
        <v>2018</v>
      </c>
      <c r="V21" s="109"/>
      <c r="W21" s="109">
        <v>2017</v>
      </c>
      <c r="Y21" s="109">
        <v>2016</v>
      </c>
      <c r="AI21" s="113"/>
    </row>
    <row r="22" spans="1:35" s="4" customFormat="1" x14ac:dyDescent="0.2">
      <c r="A22" s="5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Y22" s="108"/>
      <c r="AI22" s="113"/>
    </row>
    <row r="23" spans="1:35" s="4" customFormat="1" x14ac:dyDescent="0.2">
      <c r="A23" s="5"/>
      <c r="B23" s="4" t="s">
        <v>113</v>
      </c>
      <c r="G23" s="108">
        <f>'QB_Funds Analysis raw'!X18</f>
        <v>72662.540000000008</v>
      </c>
      <c r="H23" s="108"/>
      <c r="I23" s="108">
        <f>'QB_Funds Analysis raw'!N18</f>
        <v>19.190000000000001</v>
      </c>
      <c r="J23" s="108"/>
      <c r="K23" s="110">
        <f>I23+G23</f>
        <v>72681.73000000001</v>
      </c>
      <c r="L23" s="110"/>
      <c r="M23" s="110">
        <v>66946.39</v>
      </c>
      <c r="N23" s="108"/>
      <c r="O23" s="110">
        <v>20387.439999999999</v>
      </c>
      <c r="P23" s="108"/>
      <c r="Q23" s="108">
        <v>69596.34</v>
      </c>
      <c r="R23" s="108"/>
      <c r="S23" s="108">
        <v>67880.13</v>
      </c>
      <c r="T23" s="108"/>
      <c r="U23" s="108">
        <v>63708</v>
      </c>
      <c r="V23" s="108"/>
      <c r="W23" s="108">
        <v>51323.340000000004</v>
      </c>
      <c r="Y23" s="108">
        <v>42564</v>
      </c>
      <c r="AD23" s="112"/>
      <c r="AI23" s="113"/>
    </row>
    <row r="24" spans="1:35" s="4" customFormat="1" x14ac:dyDescent="0.2">
      <c r="A24" s="5"/>
      <c r="B24" s="4" t="s">
        <v>114</v>
      </c>
      <c r="G24" s="108">
        <f>'QB_Funds Analysis raw'!X24</f>
        <v>13878.65</v>
      </c>
      <c r="H24" s="108"/>
      <c r="I24" s="108">
        <f>'QB_Funds Analysis raw'!N24</f>
        <v>15142.65</v>
      </c>
      <c r="J24" s="108"/>
      <c r="K24" s="110">
        <f>I24+G24+1</f>
        <v>29022.3</v>
      </c>
      <c r="L24" s="110"/>
      <c r="M24" s="110">
        <v>5437.4</v>
      </c>
      <c r="N24" s="108"/>
      <c r="O24" s="110">
        <v>38672.910000000003</v>
      </c>
      <c r="P24" s="108"/>
      <c r="Q24" s="108">
        <v>10081.56</v>
      </c>
      <c r="R24" s="108"/>
      <c r="S24" s="108">
        <v>12111.6</v>
      </c>
      <c r="T24" s="108"/>
      <c r="U24" s="108">
        <v>4080.87</v>
      </c>
      <c r="V24" s="108"/>
      <c r="W24" s="108">
        <v>23729.699999999997</v>
      </c>
      <c r="Y24" s="108">
        <v>4845</v>
      </c>
      <c r="AD24" s="112"/>
      <c r="AI24" s="113"/>
    </row>
    <row r="25" spans="1:35" s="4" customFormat="1" x14ac:dyDescent="0.2">
      <c r="A25" s="5"/>
      <c r="B25" s="4" t="s">
        <v>115</v>
      </c>
      <c r="G25" s="108">
        <f>'QB_Funds Analysis raw'!X23</f>
        <v>1031.1099999999999</v>
      </c>
      <c r="H25" s="108"/>
      <c r="I25" s="108">
        <f>'QB_Funds Analysis raw'!N23</f>
        <v>526.54999999999995</v>
      </c>
      <c r="J25" s="108"/>
      <c r="K25" s="110">
        <f t="shared" ref="K25:K26" si="1">I25+G25</f>
        <v>1557.6599999999999</v>
      </c>
      <c r="L25" s="110"/>
      <c r="M25" s="110">
        <v>2248</v>
      </c>
      <c r="N25" s="108"/>
      <c r="O25" s="110">
        <v>51.6</v>
      </c>
      <c r="P25" s="108"/>
      <c r="Q25" s="108">
        <v>1874.35</v>
      </c>
      <c r="R25" s="108"/>
      <c r="S25" s="108">
        <v>2155.41</v>
      </c>
      <c r="T25" s="108"/>
      <c r="U25" s="108">
        <v>1810</v>
      </c>
      <c r="V25" s="108"/>
      <c r="W25" s="108">
        <v>3063.01</v>
      </c>
      <c r="Y25" s="108">
        <v>2560</v>
      </c>
      <c r="AD25" s="112"/>
      <c r="AI25" s="113"/>
    </row>
    <row r="26" spans="1:35" s="4" customFormat="1" hidden="1" x14ac:dyDescent="0.2">
      <c r="A26" s="5"/>
      <c r="B26" s="4" t="s">
        <v>116</v>
      </c>
      <c r="G26" s="108">
        <v>0</v>
      </c>
      <c r="I26" s="4">
        <v>0</v>
      </c>
      <c r="K26" s="110">
        <f t="shared" si="1"/>
        <v>0</v>
      </c>
      <c r="L26" s="110"/>
      <c r="M26" s="110">
        <v>0</v>
      </c>
      <c r="O26" s="110">
        <v>0</v>
      </c>
      <c r="Q26" s="108">
        <v>0</v>
      </c>
      <c r="R26" s="108"/>
      <c r="S26" s="108">
        <v>0</v>
      </c>
      <c r="T26" s="108"/>
      <c r="U26" s="108">
        <v>0</v>
      </c>
      <c r="V26" s="108"/>
      <c r="W26" s="108">
        <v>0</v>
      </c>
      <c r="Y26" s="108">
        <v>300</v>
      </c>
      <c r="AD26" s="112"/>
      <c r="AI26" s="113"/>
    </row>
    <row r="27" spans="1:35" s="4" customFormat="1" x14ac:dyDescent="0.2">
      <c r="A27" s="5"/>
      <c r="B27" s="4" t="s">
        <v>117</v>
      </c>
      <c r="G27" s="108">
        <f>'QB_Funds Analysis raw'!X25+'QB_Funds Analysis raw'!X26</f>
        <v>3692.38</v>
      </c>
      <c r="H27" s="108"/>
      <c r="I27" s="108">
        <f>'QB_Funds Analysis raw'!N25+'QB_Funds Analysis raw'!N26</f>
        <v>322.08000000000004</v>
      </c>
      <c r="J27" s="108"/>
      <c r="K27" s="110">
        <f>I27+G27</f>
        <v>4014.46</v>
      </c>
      <c r="L27" s="110"/>
      <c r="M27" s="110">
        <v>9240.7200000000012</v>
      </c>
      <c r="N27" s="108"/>
      <c r="O27" s="110">
        <v>36883.24</v>
      </c>
      <c r="P27" s="108"/>
      <c r="Q27" s="108">
        <v>3006.29</v>
      </c>
      <c r="R27" s="108"/>
      <c r="S27" s="108">
        <v>2592.21</v>
      </c>
      <c r="T27" s="108"/>
      <c r="U27" s="108">
        <v>2720</v>
      </c>
      <c r="V27" s="108"/>
      <c r="W27" s="108">
        <v>1860.38</v>
      </c>
      <c r="Y27" s="108">
        <v>1858</v>
      </c>
      <c r="AD27" s="112"/>
      <c r="AI27" s="113"/>
    </row>
    <row r="28" spans="1:35" s="4" customFormat="1" x14ac:dyDescent="0.2">
      <c r="A28" s="5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Y28" s="108"/>
      <c r="AI28" s="113"/>
    </row>
    <row r="29" spans="1:35" s="4" customFormat="1" x14ac:dyDescent="0.2">
      <c r="A29" s="5"/>
      <c r="G29" s="115">
        <f>SUM(G23:G28)</f>
        <v>91264.680000000008</v>
      </c>
      <c r="H29" s="108"/>
      <c r="I29" s="115">
        <f>SUM(I23:I28)+1</f>
        <v>16011.47</v>
      </c>
      <c r="J29" s="108"/>
      <c r="K29" s="115">
        <f>SUM(K23:K28)</f>
        <v>107276.15000000002</v>
      </c>
      <c r="L29" s="108"/>
      <c r="M29" s="115">
        <v>83870.509999999995</v>
      </c>
      <c r="N29" s="108"/>
      <c r="O29" s="115">
        <v>95995.19</v>
      </c>
      <c r="P29" s="108"/>
      <c r="Q29" s="115">
        <v>84557.54</v>
      </c>
      <c r="R29" s="108"/>
      <c r="S29" s="115">
        <v>84739.35000000002</v>
      </c>
      <c r="T29" s="108"/>
      <c r="U29" s="115">
        <v>72319</v>
      </c>
      <c r="V29" s="108"/>
      <c r="W29" s="115">
        <v>79976.430000000008</v>
      </c>
      <c r="Y29" s="115">
        <f>SUM(Y23:Y28)</f>
        <v>52127</v>
      </c>
      <c r="AD29" s="112"/>
      <c r="AI29" s="113"/>
    </row>
    <row r="30" spans="1:35" s="4" customFormat="1" x14ac:dyDescent="0.2">
      <c r="A30" s="5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Y30" s="108"/>
      <c r="AD30" s="112"/>
      <c r="AI30" s="113"/>
    </row>
    <row r="31" spans="1:35" s="4" customFormat="1" x14ac:dyDescent="0.2">
      <c r="A31" s="5"/>
      <c r="B31" s="4" t="s">
        <v>37</v>
      </c>
      <c r="G31" s="108"/>
      <c r="H31" s="108"/>
      <c r="I31" s="108"/>
      <c r="J31" s="108"/>
      <c r="K31" s="108">
        <f>K14+K29</f>
        <v>113758.61000000003</v>
      </c>
      <c r="L31" s="108"/>
      <c r="M31" s="108">
        <f t="shared" ref="M31:Y31" si="2">M14+M29</f>
        <v>112182.29</v>
      </c>
      <c r="N31" s="108"/>
      <c r="O31" s="108">
        <f t="shared" si="2"/>
        <v>110971.81</v>
      </c>
      <c r="P31" s="108"/>
      <c r="Q31" s="108">
        <f t="shared" si="2"/>
        <v>97800.109999999986</v>
      </c>
      <c r="R31" s="108"/>
      <c r="S31" s="108">
        <f t="shared" si="2"/>
        <v>95025.660000000018</v>
      </c>
      <c r="T31" s="108">
        <f t="shared" si="2"/>
        <v>0</v>
      </c>
      <c r="U31" s="108">
        <f t="shared" si="2"/>
        <v>92010.36</v>
      </c>
      <c r="V31" s="108"/>
      <c r="W31" s="108">
        <f t="shared" si="2"/>
        <v>100204.61000000002</v>
      </c>
      <c r="X31" s="108"/>
      <c r="Y31" s="108">
        <f t="shared" si="2"/>
        <v>92353</v>
      </c>
      <c r="AD31" s="112"/>
      <c r="AI31" s="113"/>
    </row>
    <row r="32" spans="1:35" x14ac:dyDescent="0.2"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Y32" s="72"/>
      <c r="AI32" s="75"/>
    </row>
    <row r="33" spans="1:35" x14ac:dyDescent="0.2"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Y33" s="72"/>
      <c r="AI33" s="75"/>
    </row>
    <row r="34" spans="1:35" s="4" customFormat="1" x14ac:dyDescent="0.2">
      <c r="A34" s="5">
        <f>A19+1</f>
        <v>4</v>
      </c>
      <c r="B34" s="6" t="s">
        <v>118</v>
      </c>
      <c r="C34" s="6"/>
      <c r="AI34" s="113"/>
    </row>
    <row r="35" spans="1:35" s="4" customFormat="1" x14ac:dyDescent="0.2">
      <c r="A35" s="5"/>
      <c r="G35" s="5" t="s">
        <v>3</v>
      </c>
      <c r="H35" s="5"/>
      <c r="I35" s="5" t="s">
        <v>2</v>
      </c>
      <c r="K35" s="5" t="s">
        <v>108</v>
      </c>
      <c r="L35" s="5"/>
      <c r="M35" s="5" t="s">
        <v>108</v>
      </c>
      <c r="O35" s="5" t="s">
        <v>108</v>
      </c>
      <c r="Q35" s="5" t="s">
        <v>108</v>
      </c>
      <c r="R35" s="5"/>
      <c r="S35" s="5" t="s">
        <v>108</v>
      </c>
      <c r="T35" s="5"/>
      <c r="U35" s="5" t="s">
        <v>108</v>
      </c>
      <c r="V35" s="5"/>
      <c r="W35" s="5" t="s">
        <v>108</v>
      </c>
      <c r="Y35" s="5" t="s">
        <v>108</v>
      </c>
      <c r="AI35" s="113"/>
    </row>
    <row r="36" spans="1:35" s="4" customFormat="1" x14ac:dyDescent="0.2">
      <c r="A36" s="5"/>
      <c r="G36" s="5" t="s">
        <v>109</v>
      </c>
      <c r="H36" s="5"/>
      <c r="I36" s="5" t="s">
        <v>109</v>
      </c>
      <c r="K36" s="109">
        <v>2023</v>
      </c>
      <c r="L36" s="109"/>
      <c r="M36" s="109">
        <v>2022</v>
      </c>
      <c r="O36" s="109">
        <v>2021</v>
      </c>
      <c r="Q36" s="109">
        <v>2020</v>
      </c>
      <c r="R36" s="109"/>
      <c r="S36" s="109">
        <v>2019</v>
      </c>
      <c r="T36" s="5"/>
      <c r="U36" s="5">
        <v>2018</v>
      </c>
      <c r="V36" s="5"/>
      <c r="W36" s="5">
        <v>2017</v>
      </c>
      <c r="Y36" s="5">
        <v>2016</v>
      </c>
      <c r="AI36" s="113"/>
    </row>
    <row r="37" spans="1:35" s="4" customFormat="1" x14ac:dyDescent="0.2">
      <c r="A37" s="5"/>
      <c r="K37" s="109"/>
      <c r="L37" s="109"/>
      <c r="M37" s="109"/>
      <c r="O37" s="109"/>
      <c r="AI37" s="113"/>
    </row>
    <row r="38" spans="1:35" s="4" customFormat="1" x14ac:dyDescent="0.2">
      <c r="A38" s="5"/>
      <c r="H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Y38" s="108"/>
      <c r="AI38" s="113"/>
    </row>
    <row r="39" spans="1:35" s="4" customFormat="1" x14ac:dyDescent="0.2">
      <c r="A39" s="5"/>
      <c r="B39" s="4" t="s">
        <v>119</v>
      </c>
      <c r="G39" s="108">
        <f>'QB_Funds Analysis raw'!X11</f>
        <v>122.99</v>
      </c>
      <c r="H39" s="108"/>
      <c r="I39" s="108">
        <f>'QB_Funds Analysis raw'!N11</f>
        <v>227.91</v>
      </c>
      <c r="J39" s="108"/>
      <c r="K39" s="110">
        <f t="shared" ref="K39:K41" si="3">I39+G39</f>
        <v>350.9</v>
      </c>
      <c r="L39" s="110"/>
      <c r="M39" s="110">
        <v>83.9</v>
      </c>
      <c r="N39" s="108"/>
      <c r="O39" s="110">
        <v>0</v>
      </c>
      <c r="P39" s="108"/>
      <c r="Q39" s="108">
        <v>1516.08</v>
      </c>
      <c r="R39" s="108"/>
      <c r="S39" s="108">
        <v>0</v>
      </c>
      <c r="T39" s="108"/>
      <c r="U39" s="108">
        <v>115.76</v>
      </c>
      <c r="V39" s="108"/>
      <c r="W39" s="108">
        <v>124.05</v>
      </c>
      <c r="Y39" s="108">
        <v>1311</v>
      </c>
      <c r="AB39" s="108"/>
      <c r="AI39" s="113"/>
    </row>
    <row r="40" spans="1:35" s="4" customFormat="1" x14ac:dyDescent="0.2">
      <c r="A40" s="5"/>
      <c r="B40" s="4" t="s">
        <v>120</v>
      </c>
      <c r="G40" s="108">
        <f>'QB_Funds Analysis'!AB29</f>
        <v>0</v>
      </c>
      <c r="H40" s="108"/>
      <c r="I40" s="108">
        <f>'QB_Funds Analysis'!L29</f>
        <v>0</v>
      </c>
      <c r="J40" s="108"/>
      <c r="K40" s="110">
        <f t="shared" si="3"/>
        <v>0</v>
      </c>
      <c r="L40" s="110"/>
      <c r="M40" s="110">
        <v>240</v>
      </c>
      <c r="N40" s="108"/>
      <c r="O40" s="110">
        <v>250</v>
      </c>
      <c r="P40" s="108"/>
      <c r="Q40" s="108">
        <v>1260</v>
      </c>
      <c r="R40" s="108"/>
      <c r="S40" s="108">
        <v>300</v>
      </c>
      <c r="T40" s="108"/>
      <c r="U40" s="108">
        <v>240</v>
      </c>
      <c r="V40" s="108"/>
      <c r="W40" s="108">
        <v>500</v>
      </c>
      <c r="Y40" s="108">
        <v>1090</v>
      </c>
      <c r="AI40" s="113"/>
    </row>
    <row r="41" spans="1:35" s="4" customFormat="1" x14ac:dyDescent="0.2">
      <c r="A41" s="5"/>
      <c r="B41" s="4" t="s">
        <v>121</v>
      </c>
      <c r="G41" s="108">
        <v>0</v>
      </c>
      <c r="H41" s="108"/>
      <c r="I41" s="108">
        <v>0</v>
      </c>
      <c r="J41" s="108"/>
      <c r="K41" s="110">
        <f t="shared" si="3"/>
        <v>0</v>
      </c>
      <c r="L41" s="110"/>
      <c r="M41" s="110">
        <v>0</v>
      </c>
      <c r="N41" s="108"/>
      <c r="O41" s="110">
        <v>0</v>
      </c>
      <c r="P41" s="108"/>
      <c r="Q41" s="108">
        <v>616.66</v>
      </c>
      <c r="R41" s="108"/>
      <c r="S41" s="108">
        <v>418.34</v>
      </c>
      <c r="T41" s="108"/>
      <c r="U41" s="108">
        <v>425</v>
      </c>
      <c r="V41" s="108"/>
      <c r="W41" s="108">
        <v>474</v>
      </c>
      <c r="Y41" s="108">
        <v>740</v>
      </c>
      <c r="AI41" s="113"/>
    </row>
    <row r="42" spans="1:35" s="4" customFormat="1" x14ac:dyDescent="0.2">
      <c r="A42" s="5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Y42" s="108"/>
      <c r="AI42" s="113"/>
    </row>
    <row r="43" spans="1:35" s="4" customFormat="1" x14ac:dyDescent="0.2">
      <c r="A43" s="5"/>
      <c r="G43" s="115">
        <f>SUM(G39:G42)</f>
        <v>122.99</v>
      </c>
      <c r="H43" s="108"/>
      <c r="I43" s="115">
        <f>SUM(I39:I42)</f>
        <v>227.91</v>
      </c>
      <c r="J43" s="108"/>
      <c r="K43" s="115">
        <f>SUM(K38:K42)</f>
        <v>350.9</v>
      </c>
      <c r="L43" s="108"/>
      <c r="M43" s="115">
        <v>323.89999999999998</v>
      </c>
      <c r="N43" s="108"/>
      <c r="O43" s="115">
        <v>250</v>
      </c>
      <c r="P43" s="108"/>
      <c r="Q43" s="115">
        <v>3392.74</v>
      </c>
      <c r="R43" s="108"/>
      <c r="S43" s="115">
        <v>718.33999999999992</v>
      </c>
      <c r="T43" s="108"/>
      <c r="U43" s="115">
        <v>781</v>
      </c>
      <c r="V43" s="108"/>
      <c r="W43" s="115">
        <v>1098.05</v>
      </c>
      <c r="Y43" s="115">
        <f>SUM(Y38:Y42)</f>
        <v>3141</v>
      </c>
      <c r="AI43" s="113"/>
    </row>
    <row r="44" spans="1:35" x14ac:dyDescent="0.2">
      <c r="AI44" s="75"/>
    </row>
    <row r="45" spans="1:35" x14ac:dyDescent="0.2"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Y45" s="72"/>
      <c r="AI45" s="75"/>
    </row>
    <row r="46" spans="1:35" ht="15.75" customHeight="1" x14ac:dyDescent="0.2"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Y46" s="72"/>
      <c r="AI46" s="75"/>
    </row>
    <row r="47" spans="1:35" s="170" customFormat="1" x14ac:dyDescent="0.2">
      <c r="A47" s="168">
        <f>A34+1</f>
        <v>5</v>
      </c>
      <c r="B47" s="169" t="s">
        <v>122</v>
      </c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Y47" s="171"/>
      <c r="AI47" s="172"/>
    </row>
    <row r="48" spans="1:35" s="170" customFormat="1" x14ac:dyDescent="0.2">
      <c r="A48" s="168"/>
      <c r="G48" s="173" t="s">
        <v>3</v>
      </c>
      <c r="H48" s="173"/>
      <c r="I48" s="173" t="s">
        <v>2</v>
      </c>
      <c r="J48" s="171"/>
      <c r="K48" s="173" t="s">
        <v>108</v>
      </c>
      <c r="L48" s="173"/>
      <c r="M48" s="173" t="s">
        <v>108</v>
      </c>
      <c r="N48" s="171"/>
      <c r="O48" s="173" t="s">
        <v>108</v>
      </c>
      <c r="P48" s="171"/>
      <c r="Q48" s="173" t="s">
        <v>108</v>
      </c>
      <c r="R48" s="173"/>
      <c r="S48" s="173" t="s">
        <v>108</v>
      </c>
      <c r="T48" s="173"/>
      <c r="U48" s="173" t="s">
        <v>108</v>
      </c>
      <c r="V48" s="173"/>
      <c r="W48" s="173" t="s">
        <v>108</v>
      </c>
      <c r="Y48" s="173" t="s">
        <v>108</v>
      </c>
      <c r="AA48" s="168"/>
      <c r="AI48" s="172"/>
    </row>
    <row r="49" spans="1:35" s="170" customFormat="1" x14ac:dyDescent="0.2">
      <c r="A49" s="168"/>
      <c r="G49" s="173" t="s">
        <v>109</v>
      </c>
      <c r="H49" s="173"/>
      <c r="I49" s="173" t="s">
        <v>109</v>
      </c>
      <c r="J49" s="171"/>
      <c r="K49" s="109">
        <v>2023</v>
      </c>
      <c r="L49" s="174"/>
      <c r="M49" s="174">
        <v>2022</v>
      </c>
      <c r="N49" s="171"/>
      <c r="O49" s="174">
        <v>2021</v>
      </c>
      <c r="P49" s="171"/>
      <c r="Q49" s="174">
        <v>2020</v>
      </c>
      <c r="R49" s="174"/>
      <c r="S49" s="174">
        <v>2019</v>
      </c>
      <c r="T49" s="168"/>
      <c r="U49" s="168">
        <v>2018</v>
      </c>
      <c r="V49" s="168"/>
      <c r="W49" s="168">
        <v>2017</v>
      </c>
      <c r="Y49" s="168">
        <v>2016</v>
      </c>
      <c r="AA49" s="168"/>
      <c r="AI49" s="172"/>
    </row>
    <row r="50" spans="1:35" s="170" customFormat="1" x14ac:dyDescent="0.2">
      <c r="A50" s="168"/>
      <c r="B50" s="170" t="s">
        <v>123</v>
      </c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Y50" s="171"/>
      <c r="AI50" s="172"/>
    </row>
    <row r="51" spans="1:35" s="170" customFormat="1" x14ac:dyDescent="0.2">
      <c r="A51" s="168"/>
      <c r="C51" s="170" t="s">
        <v>124</v>
      </c>
      <c r="G51" s="171">
        <v>0</v>
      </c>
      <c r="H51" s="171"/>
      <c r="I51" s="171">
        <v>0</v>
      </c>
      <c r="J51" s="171"/>
      <c r="K51" s="175">
        <f t="shared" ref="K51:K54" si="4">I51+G51</f>
        <v>0</v>
      </c>
      <c r="L51" s="175"/>
      <c r="M51" s="175">
        <v>0</v>
      </c>
      <c r="N51" s="171"/>
      <c r="O51" s="175">
        <v>0</v>
      </c>
      <c r="P51" s="171"/>
      <c r="Q51" s="171">
        <v>0</v>
      </c>
      <c r="R51" s="171"/>
      <c r="S51" s="171">
        <v>0</v>
      </c>
      <c r="T51" s="171"/>
      <c r="U51" s="171">
        <v>0</v>
      </c>
      <c r="V51" s="171"/>
      <c r="W51" s="171">
        <v>0</v>
      </c>
      <c r="Y51" s="171">
        <v>111</v>
      </c>
      <c r="AB51" s="171"/>
      <c r="AI51" s="172"/>
    </row>
    <row r="52" spans="1:35" s="170" customFormat="1" x14ac:dyDescent="0.2">
      <c r="A52" s="168"/>
      <c r="C52" s="170" t="s">
        <v>125</v>
      </c>
      <c r="G52" s="171">
        <f>'QB_Funds Analysis raw'!P37+'QB_Funds Analysis raw'!P40+'QB_Funds Analysis raw'!P45</f>
        <v>51120.61</v>
      </c>
      <c r="H52" s="171"/>
      <c r="I52" s="171">
        <f>'QB_Funds Analysis raw'!D37+'QB_Funds Analysis raw'!D45+'QB_Funds Analysis raw'!D53</f>
        <v>884.42000000000007</v>
      </c>
      <c r="J52" s="171"/>
      <c r="K52" s="175">
        <f>I52+G52</f>
        <v>52005.03</v>
      </c>
      <c r="L52" s="175"/>
      <c r="M52" s="175">
        <v>48018.439999999988</v>
      </c>
      <c r="N52" s="171"/>
      <c r="O52" s="175">
        <v>47314.610000000008</v>
      </c>
      <c r="P52" s="171"/>
      <c r="Q52" s="171">
        <v>44272.17</v>
      </c>
      <c r="R52" s="171"/>
      <c r="S52" s="171">
        <v>39728.119999999995</v>
      </c>
      <c r="T52" s="171"/>
      <c r="U52" s="171">
        <v>32850.89</v>
      </c>
      <c r="V52" s="171"/>
      <c r="W52" s="171">
        <v>32396.32</v>
      </c>
      <c r="Y52" s="171">
        <v>51558</v>
      </c>
      <c r="AB52" s="171"/>
      <c r="AI52" s="172"/>
    </row>
    <row r="53" spans="1:35" s="170" customFormat="1" x14ac:dyDescent="0.2">
      <c r="A53" s="168"/>
      <c r="C53" s="170" t="s">
        <v>126</v>
      </c>
      <c r="G53" s="171">
        <f>'QB_Funds Analysis raw'!P64+'QB_Funds Analysis raw'!P69+'QB_Funds Analysis raw'!Q45-'QB_Funds Analysis raw'!Q45</f>
        <v>28519.31</v>
      </c>
      <c r="H53" s="171"/>
      <c r="I53" s="171">
        <v>0</v>
      </c>
      <c r="J53" s="171"/>
      <c r="K53" s="175">
        <f t="shared" si="4"/>
        <v>28519.31</v>
      </c>
      <c r="L53" s="175"/>
      <c r="M53" s="175">
        <v>23725.01</v>
      </c>
      <c r="N53" s="171"/>
      <c r="O53" s="175">
        <v>16937.030000000002</v>
      </c>
      <c r="P53" s="171"/>
      <c r="Q53" s="171">
        <v>33106.670000000006</v>
      </c>
      <c r="R53" s="171"/>
      <c r="S53" s="171">
        <v>25578.460000000003</v>
      </c>
      <c r="T53" s="171"/>
      <c r="U53" s="171">
        <v>26690.099999999995</v>
      </c>
      <c r="V53" s="171"/>
      <c r="W53" s="171">
        <v>30111.520000000004</v>
      </c>
      <c r="Y53" s="171">
        <v>25166</v>
      </c>
      <c r="AB53" s="171"/>
      <c r="AC53" s="171"/>
      <c r="AI53" s="172"/>
    </row>
    <row r="54" spans="1:35" s="170" customFormat="1" x14ac:dyDescent="0.2">
      <c r="A54" s="168"/>
      <c r="C54" s="170" t="s">
        <v>127</v>
      </c>
      <c r="G54" s="171">
        <f>'QB_Funds Analysis raw'!P89</f>
        <v>6493.2399999999989</v>
      </c>
      <c r="H54" s="171"/>
      <c r="I54" s="171">
        <f>'QB_Funds Analysis raw'!D89</f>
        <v>0</v>
      </c>
      <c r="J54" s="171"/>
      <c r="K54" s="175">
        <f t="shared" si="4"/>
        <v>6493.2399999999989</v>
      </c>
      <c r="L54" s="175"/>
      <c r="M54" s="175">
        <v>4810.16</v>
      </c>
      <c r="N54" s="171"/>
      <c r="O54" s="175">
        <v>3643.2499999999995</v>
      </c>
      <c r="P54" s="171"/>
      <c r="Q54" s="171">
        <v>5875.57</v>
      </c>
      <c r="R54" s="171"/>
      <c r="S54" s="171">
        <v>3136.2200000000003</v>
      </c>
      <c r="T54" s="171"/>
      <c r="U54" s="171">
        <v>2047</v>
      </c>
      <c r="V54" s="171"/>
      <c r="W54" s="171">
        <v>1548.02</v>
      </c>
      <c r="Y54" s="171">
        <v>6351</v>
      </c>
      <c r="AB54" s="171"/>
      <c r="AI54" s="172"/>
    </row>
    <row r="55" spans="1:35" s="170" customFormat="1" x14ac:dyDescent="0.2">
      <c r="A55" s="168"/>
      <c r="G55" s="176">
        <f>SUM(G51:G54)</f>
        <v>86133.16</v>
      </c>
      <c r="H55" s="171"/>
      <c r="I55" s="176">
        <f>SUM(I51:I54)</f>
        <v>884.42000000000007</v>
      </c>
      <c r="J55" s="171"/>
      <c r="K55" s="176">
        <f>I55+G55-1</f>
        <v>87016.58</v>
      </c>
      <c r="L55" s="171"/>
      <c r="M55" s="176">
        <v>76552.609999999986</v>
      </c>
      <c r="N55" s="171"/>
      <c r="O55" s="176">
        <v>67894.890000000014</v>
      </c>
      <c r="P55" s="171"/>
      <c r="Q55" s="176">
        <v>83255.41</v>
      </c>
      <c r="R55" s="171"/>
      <c r="S55" s="176">
        <v>68442.8</v>
      </c>
      <c r="T55" s="171"/>
      <c r="U55" s="176">
        <v>61588</v>
      </c>
      <c r="V55" s="171"/>
      <c r="W55" s="176">
        <v>64055.86</v>
      </c>
      <c r="Y55" s="176">
        <f>SUM(Y51:Y54)</f>
        <v>83186</v>
      </c>
      <c r="AB55" s="171"/>
      <c r="AI55" s="172"/>
    </row>
    <row r="56" spans="1:35" s="4" customFormat="1" hidden="1" x14ac:dyDescent="0.2">
      <c r="A56" s="5"/>
      <c r="B56" s="4" t="s">
        <v>128</v>
      </c>
      <c r="G56" s="108">
        <v>0</v>
      </c>
      <c r="H56" s="108"/>
      <c r="I56" s="108">
        <v>0</v>
      </c>
      <c r="J56" s="108"/>
      <c r="K56" s="108">
        <f t="shared" ref="K56" si="5">G56+E56</f>
        <v>0</v>
      </c>
      <c r="L56" s="108"/>
      <c r="M56" s="108">
        <v>0</v>
      </c>
      <c r="N56" s="108"/>
      <c r="O56" s="108">
        <v>0</v>
      </c>
      <c r="P56" s="108"/>
      <c r="Q56" s="108">
        <v>0</v>
      </c>
      <c r="R56" s="108"/>
      <c r="S56" s="108">
        <v>0</v>
      </c>
      <c r="T56" s="108"/>
      <c r="U56" s="108">
        <v>0</v>
      </c>
      <c r="V56" s="108"/>
      <c r="W56" s="108">
        <v>0</v>
      </c>
      <c r="Y56" s="108">
        <v>210</v>
      </c>
      <c r="AB56" s="108"/>
      <c r="AI56" s="113"/>
    </row>
    <row r="57" spans="1:35" s="4" customFormat="1" x14ac:dyDescent="0.2">
      <c r="A57" s="5"/>
      <c r="B57" s="4" t="s">
        <v>600</v>
      </c>
      <c r="G57" s="108">
        <f>'QB_Funds Analysis raw'!W104+10</f>
        <v>23359.55</v>
      </c>
      <c r="H57" s="108"/>
      <c r="I57" s="108">
        <f>'QB_Funds Analysis raw'!M104</f>
        <v>17186.53</v>
      </c>
      <c r="J57" s="108"/>
      <c r="K57" s="110">
        <f>I57+G57+1</f>
        <v>40547.08</v>
      </c>
      <c r="L57" s="110"/>
      <c r="M57" s="110">
        <v>36112.259999999995</v>
      </c>
      <c r="N57" s="108"/>
      <c r="O57" s="110">
        <v>24730.27</v>
      </c>
      <c r="P57" s="108"/>
      <c r="Q57" s="108">
        <v>29741.78</v>
      </c>
      <c r="R57" s="108"/>
      <c r="S57" s="108">
        <v>22375.18</v>
      </c>
      <c r="T57" s="108"/>
      <c r="U57" s="108">
        <v>17081.810000000001</v>
      </c>
      <c r="V57" s="108"/>
      <c r="W57" s="108">
        <v>14272.3</v>
      </c>
      <c r="Y57" s="108">
        <v>10243</v>
      </c>
      <c r="AB57" s="108"/>
      <c r="AI57" s="113"/>
    </row>
    <row r="58" spans="1:35" s="4" customFormat="1" x14ac:dyDescent="0.2">
      <c r="A58" s="5"/>
      <c r="B58" s="4" t="s">
        <v>10</v>
      </c>
      <c r="G58" s="108">
        <f>0</f>
        <v>0</v>
      </c>
      <c r="H58" s="108"/>
      <c r="I58" s="108">
        <f>'QB_Funds Analysis raw'!H104</f>
        <v>2219.61</v>
      </c>
      <c r="J58" s="108"/>
      <c r="K58" s="110">
        <f t="shared" ref="K58:K63" si="6">I58+G58</f>
        <v>2219.61</v>
      </c>
      <c r="L58" s="110"/>
      <c r="M58" s="110">
        <v>2072.67</v>
      </c>
      <c r="N58" s="108"/>
      <c r="O58" s="110">
        <v>507.80999999999995</v>
      </c>
      <c r="P58" s="108"/>
      <c r="Q58" s="108">
        <v>2068.27</v>
      </c>
      <c r="R58" s="108"/>
      <c r="S58" s="108">
        <v>2754</v>
      </c>
      <c r="T58" s="108"/>
      <c r="U58" s="108">
        <v>1366.98</v>
      </c>
      <c r="V58" s="108"/>
      <c r="W58" s="108">
        <v>727.06</v>
      </c>
      <c r="Y58" s="108">
        <v>803</v>
      </c>
      <c r="AB58" s="108"/>
      <c r="AI58" s="113"/>
    </row>
    <row r="59" spans="1:35" s="4" customFormat="1" hidden="1" x14ac:dyDescent="0.2">
      <c r="A59" s="5"/>
      <c r="B59" s="4" t="s">
        <v>5</v>
      </c>
      <c r="G59" s="108">
        <v>0</v>
      </c>
      <c r="H59" s="108"/>
      <c r="I59" s="108">
        <v>0</v>
      </c>
      <c r="J59" s="108"/>
      <c r="K59" s="110">
        <f t="shared" si="6"/>
        <v>0</v>
      </c>
      <c r="L59" s="110"/>
      <c r="M59" s="110">
        <v>0</v>
      </c>
      <c r="N59" s="108"/>
      <c r="O59" s="110">
        <v>0</v>
      </c>
      <c r="P59" s="108"/>
      <c r="Q59" s="108">
        <v>0</v>
      </c>
      <c r="R59" s="108"/>
      <c r="S59" s="108">
        <v>0</v>
      </c>
      <c r="T59" s="108"/>
      <c r="U59" s="108">
        <v>0</v>
      </c>
      <c r="V59" s="108"/>
      <c r="W59" s="108">
        <v>115.09</v>
      </c>
      <c r="Y59" s="108">
        <v>0</v>
      </c>
      <c r="AB59" s="108"/>
      <c r="AI59" s="113"/>
    </row>
    <row r="60" spans="1:35" s="4" customFormat="1" x14ac:dyDescent="0.2">
      <c r="A60" s="5"/>
      <c r="B60" s="4" t="s">
        <v>129</v>
      </c>
      <c r="G60" s="108">
        <f>'QB_Funds Analysis'!AB106</f>
        <v>750</v>
      </c>
      <c r="H60" s="108"/>
      <c r="I60" s="108">
        <v>0</v>
      </c>
      <c r="J60" s="108"/>
      <c r="K60" s="110">
        <f t="shared" si="6"/>
        <v>750</v>
      </c>
      <c r="L60" s="110"/>
      <c r="M60" s="110">
        <v>720</v>
      </c>
      <c r="N60" s="108"/>
      <c r="O60" s="110">
        <v>620</v>
      </c>
      <c r="P60" s="108"/>
      <c r="Q60" s="108">
        <v>792</v>
      </c>
      <c r="R60" s="108"/>
      <c r="S60" s="108">
        <v>1130</v>
      </c>
      <c r="T60" s="108"/>
      <c r="U60" s="108">
        <v>650</v>
      </c>
      <c r="V60" s="108"/>
      <c r="W60" s="108">
        <v>679.29</v>
      </c>
      <c r="Y60" s="108">
        <v>693</v>
      </c>
      <c r="AB60" s="108"/>
      <c r="AI60" s="113"/>
    </row>
    <row r="61" spans="1:35" s="4" customFormat="1" x14ac:dyDescent="0.2">
      <c r="A61" s="5"/>
      <c r="B61" s="4" t="s">
        <v>416</v>
      </c>
      <c r="G61" s="108">
        <v>0</v>
      </c>
      <c r="H61" s="108"/>
      <c r="I61" s="108">
        <f>'QB_Funds Analysis'!D107</f>
        <v>0</v>
      </c>
      <c r="J61" s="108"/>
      <c r="K61" s="110">
        <f t="shared" si="6"/>
        <v>0</v>
      </c>
      <c r="L61" s="110"/>
      <c r="M61" s="110">
        <v>3839.94</v>
      </c>
      <c r="N61" s="108"/>
      <c r="O61" s="110">
        <v>11474.53</v>
      </c>
      <c r="P61" s="108"/>
      <c r="Q61" s="108">
        <v>238.39</v>
      </c>
      <c r="R61" s="108"/>
      <c r="S61" s="108">
        <v>0</v>
      </c>
      <c r="T61" s="108"/>
      <c r="U61" s="108">
        <v>0</v>
      </c>
      <c r="V61" s="108"/>
      <c r="W61" s="108">
        <v>0</v>
      </c>
      <c r="Y61" s="108">
        <v>0</v>
      </c>
      <c r="AB61" s="108"/>
      <c r="AI61" s="113"/>
    </row>
    <row r="62" spans="1:35" s="4" customFormat="1" x14ac:dyDescent="0.2">
      <c r="A62" s="5"/>
      <c r="B62" s="4" t="s">
        <v>456</v>
      </c>
      <c r="G62" s="108">
        <v>0</v>
      </c>
      <c r="H62" s="108"/>
      <c r="I62" s="108">
        <f>'QB_Funds Analysis raw'!C104</f>
        <v>1131.68</v>
      </c>
      <c r="J62" s="108"/>
      <c r="K62" s="110">
        <f t="shared" si="6"/>
        <v>1131.68</v>
      </c>
      <c r="L62" s="110"/>
      <c r="M62" s="110">
        <v>971.5</v>
      </c>
      <c r="N62" s="108"/>
      <c r="O62" s="110"/>
      <c r="P62" s="108"/>
      <c r="Q62" s="108"/>
      <c r="R62" s="108"/>
      <c r="S62" s="108"/>
      <c r="T62" s="108"/>
      <c r="U62" s="108"/>
      <c r="V62" s="108"/>
      <c r="W62" s="108"/>
      <c r="Y62" s="108"/>
      <c r="AB62" s="108"/>
      <c r="AI62" s="113"/>
    </row>
    <row r="63" spans="1:35" s="4" customFormat="1" x14ac:dyDescent="0.2">
      <c r="A63" s="5"/>
      <c r="B63" s="4" t="s">
        <v>599</v>
      </c>
      <c r="G63" s="108">
        <f>'QB_Funds Analysis raw'!Q104</f>
        <v>111.91999999999999</v>
      </c>
      <c r="H63" s="108"/>
      <c r="I63" s="108">
        <f>'QB_Funds Analysis raw'!I104+'QB_Funds Analysis raw'!F104</f>
        <v>393.13</v>
      </c>
      <c r="J63" s="108"/>
      <c r="K63" s="110">
        <f t="shared" si="6"/>
        <v>505.04999999999995</v>
      </c>
      <c r="L63" s="110"/>
      <c r="M63" s="110">
        <v>685.5</v>
      </c>
      <c r="N63" s="108"/>
      <c r="O63" s="110"/>
      <c r="P63" s="108"/>
      <c r="Q63" s="108"/>
      <c r="R63" s="108"/>
      <c r="S63" s="108"/>
      <c r="T63" s="108"/>
      <c r="U63" s="108"/>
      <c r="V63" s="108"/>
      <c r="W63" s="108"/>
      <c r="Y63" s="108"/>
      <c r="AB63" s="108"/>
      <c r="AI63" s="113"/>
    </row>
    <row r="64" spans="1:35" s="4" customFormat="1" x14ac:dyDescent="0.2">
      <c r="A64" s="5"/>
      <c r="B64" s="4" t="s">
        <v>489</v>
      </c>
      <c r="G64" s="108">
        <v>0</v>
      </c>
      <c r="H64" s="108"/>
      <c r="I64" s="108">
        <f>'QB_Funds Analysis raw'!E104</f>
        <v>1693.7200000000003</v>
      </c>
      <c r="J64" s="108"/>
      <c r="K64" s="110">
        <f t="shared" ref="K64" si="7">I64+G64</f>
        <v>1693.7200000000003</v>
      </c>
      <c r="L64" s="110"/>
      <c r="M64" s="110">
        <v>2516.14</v>
      </c>
      <c r="N64" s="108"/>
      <c r="O64" s="110"/>
      <c r="P64" s="108"/>
      <c r="Q64" s="108"/>
      <c r="R64" s="108"/>
      <c r="S64" s="108"/>
      <c r="T64" s="108"/>
      <c r="U64" s="108"/>
      <c r="V64" s="108"/>
      <c r="W64" s="108"/>
      <c r="Y64" s="108"/>
      <c r="AB64" s="108"/>
      <c r="AI64" s="113"/>
    </row>
    <row r="65" spans="1:35" s="4" customFormat="1" x14ac:dyDescent="0.2">
      <c r="A65" s="5"/>
      <c r="G65" s="108"/>
      <c r="H65" s="108"/>
      <c r="I65" s="108"/>
      <c r="J65" s="108"/>
      <c r="K65" s="110"/>
      <c r="L65" s="110"/>
      <c r="M65" s="110"/>
      <c r="N65" s="108"/>
      <c r="O65" s="110"/>
      <c r="P65" s="108"/>
      <c r="Q65" s="108"/>
      <c r="R65" s="108"/>
      <c r="S65" s="108"/>
      <c r="T65" s="108"/>
      <c r="U65" s="108"/>
      <c r="V65" s="108"/>
      <c r="W65" s="108"/>
      <c r="Y65" s="108"/>
      <c r="AB65" s="108"/>
      <c r="AI65" s="113"/>
    </row>
    <row r="66" spans="1:35" s="4" customFormat="1" x14ac:dyDescent="0.2">
      <c r="A66" s="5"/>
      <c r="G66" s="177"/>
      <c r="H66" s="108"/>
      <c r="I66" s="177"/>
      <c r="J66" s="108"/>
      <c r="K66" s="110"/>
      <c r="L66" s="110"/>
      <c r="M66" s="110"/>
      <c r="N66" s="108"/>
      <c r="O66" s="110"/>
      <c r="P66" s="108"/>
      <c r="Q66" s="108"/>
      <c r="R66" s="108"/>
      <c r="S66" s="177"/>
      <c r="T66" s="108"/>
      <c r="U66" s="177"/>
      <c r="V66" s="108"/>
      <c r="W66" s="177"/>
      <c r="Y66" s="177"/>
      <c r="AB66" s="108"/>
      <c r="AI66" s="113"/>
    </row>
    <row r="67" spans="1:35" s="4" customFormat="1" x14ac:dyDescent="0.2">
      <c r="A67" s="5"/>
      <c r="G67" s="115">
        <f>SUM(G55:G64)</f>
        <v>110354.63</v>
      </c>
      <c r="H67" s="108"/>
      <c r="I67" s="115">
        <f>SUM(I55:I64)+1</f>
        <v>23510.09</v>
      </c>
      <c r="J67" s="108"/>
      <c r="K67" s="115">
        <f>SUM(K55:K64)+1</f>
        <v>133864.72</v>
      </c>
      <c r="L67" s="108"/>
      <c r="M67" s="115">
        <v>123471.61999999998</v>
      </c>
      <c r="N67" s="108"/>
      <c r="O67" s="115">
        <v>105227.50000000001</v>
      </c>
      <c r="P67" s="108"/>
      <c r="Q67" s="115">
        <v>116094.85</v>
      </c>
      <c r="R67" s="108"/>
      <c r="S67" s="115">
        <v>94701.98000000001</v>
      </c>
      <c r="T67" s="108"/>
      <c r="U67" s="115">
        <v>80686</v>
      </c>
      <c r="V67" s="108"/>
      <c r="W67" s="115">
        <v>79849.599999999991</v>
      </c>
      <c r="Y67" s="115">
        <f>SUM(Y55:Y60)</f>
        <v>95135</v>
      </c>
      <c r="AB67" s="108"/>
      <c r="AD67" s="108"/>
      <c r="AI67" s="113"/>
    </row>
    <row r="68" spans="1:35" x14ac:dyDescent="0.2"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U68" s="159"/>
      <c r="AC68" s="75"/>
    </row>
    <row r="69" spans="1:35" x14ac:dyDescent="0.2">
      <c r="H69" s="72"/>
      <c r="J69" s="72"/>
      <c r="AA69" s="75"/>
    </row>
    <row r="70" spans="1:35" x14ac:dyDescent="0.2">
      <c r="G70" s="72"/>
      <c r="H70" s="72"/>
      <c r="I70" s="72"/>
      <c r="J70" s="72"/>
      <c r="K70" s="72"/>
      <c r="L70" s="72"/>
      <c r="M70" s="72"/>
      <c r="N70" s="72"/>
      <c r="O70" s="72"/>
      <c r="AA70" s="75"/>
    </row>
    <row r="71" spans="1:35" s="4" customFormat="1" ht="38.25" x14ac:dyDescent="0.2">
      <c r="A71" s="5">
        <f>A47+1</f>
        <v>6</v>
      </c>
      <c r="B71" s="6" t="s">
        <v>130</v>
      </c>
      <c r="G71" s="214" t="s">
        <v>131</v>
      </c>
      <c r="H71" s="214"/>
      <c r="I71" s="214" t="s">
        <v>132</v>
      </c>
      <c r="J71" s="214"/>
      <c r="K71" s="215" t="s">
        <v>133</v>
      </c>
      <c r="L71" s="215"/>
      <c r="M71" s="107" t="s">
        <v>108</v>
      </c>
      <c r="N71" s="215"/>
      <c r="O71" s="107" t="s">
        <v>108</v>
      </c>
      <c r="P71" s="107"/>
      <c r="Q71" s="5" t="s">
        <v>108</v>
      </c>
      <c r="R71" s="215"/>
      <c r="S71" s="5" t="s">
        <v>108</v>
      </c>
      <c r="T71" s="5"/>
      <c r="U71" s="5" t="s">
        <v>108</v>
      </c>
      <c r="W71" s="5" t="s">
        <v>108</v>
      </c>
      <c r="Y71" s="5" t="s">
        <v>108</v>
      </c>
      <c r="AA71" s="5" t="s">
        <v>108</v>
      </c>
      <c r="AC71" s="4" t="s">
        <v>108</v>
      </c>
      <c r="AI71" s="113"/>
    </row>
    <row r="72" spans="1:35" s="4" customFormat="1" x14ac:dyDescent="0.2">
      <c r="A72" s="5"/>
      <c r="G72" s="108"/>
      <c r="H72" s="108"/>
      <c r="I72" s="108"/>
      <c r="J72" s="108"/>
      <c r="K72" s="108"/>
      <c r="L72" s="108"/>
      <c r="M72" s="109">
        <v>2023</v>
      </c>
      <c r="N72" s="108"/>
      <c r="O72" s="109">
        <v>2022</v>
      </c>
      <c r="P72" s="109"/>
      <c r="Q72" s="5">
        <v>2021</v>
      </c>
      <c r="R72" s="108"/>
      <c r="S72" s="5">
        <v>2020</v>
      </c>
      <c r="T72" s="5"/>
      <c r="U72" s="5">
        <v>2019</v>
      </c>
      <c r="W72" s="5">
        <v>2018</v>
      </c>
      <c r="Y72" s="5">
        <v>2017</v>
      </c>
      <c r="Z72" s="5"/>
      <c r="AA72" s="5">
        <v>2016</v>
      </c>
      <c r="AC72" s="4">
        <v>2022</v>
      </c>
    </row>
    <row r="73" spans="1:35" s="4" customFormat="1" x14ac:dyDescent="0.2">
      <c r="A73" s="5"/>
      <c r="B73" s="4" t="s">
        <v>134</v>
      </c>
      <c r="G73" s="108">
        <f>'QB_Funds Analysis raw'!X31</f>
        <v>41361.5</v>
      </c>
      <c r="H73" s="108"/>
      <c r="I73" s="108">
        <f>'QB_Funds Analysis'!AB35</f>
        <v>5181.42</v>
      </c>
      <c r="J73" s="108"/>
      <c r="K73" s="108">
        <f>'QB_Funds Analysis raw'!Y33</f>
        <v>23098.36</v>
      </c>
      <c r="L73" s="108"/>
      <c r="M73" s="108">
        <f>SUM(G73:L73)</f>
        <v>69641.279999999999</v>
      </c>
      <c r="N73" s="108"/>
      <c r="O73" s="108">
        <v>73767.22</v>
      </c>
      <c r="P73" s="108"/>
      <c r="Q73" s="108">
        <v>69723.41</v>
      </c>
      <c r="R73" s="108"/>
      <c r="S73" s="108">
        <v>65993.849999999991</v>
      </c>
      <c r="T73" s="108"/>
      <c r="U73" s="108">
        <v>57949.14</v>
      </c>
      <c r="W73" s="108">
        <v>44104</v>
      </c>
      <c r="Y73" s="108">
        <v>37100.270000000004</v>
      </c>
      <c r="AA73" s="108">
        <v>56238</v>
      </c>
      <c r="AC73" s="4">
        <v>73767.22</v>
      </c>
    </row>
    <row r="74" spans="1:35" s="4" customFormat="1" x14ac:dyDescent="0.2">
      <c r="A74" s="5"/>
      <c r="B74" s="4" t="s">
        <v>135</v>
      </c>
      <c r="G74" s="108">
        <v>0</v>
      </c>
      <c r="H74" s="108"/>
      <c r="I74" s="13">
        <v>0</v>
      </c>
      <c r="J74" s="108"/>
      <c r="K74" s="108">
        <v>0</v>
      </c>
      <c r="L74" s="108"/>
      <c r="M74" s="108">
        <f>SUM(C74:L74)</f>
        <v>0</v>
      </c>
      <c r="N74" s="108"/>
      <c r="O74" s="108">
        <v>0</v>
      </c>
      <c r="P74" s="108"/>
      <c r="Q74" s="108">
        <v>0</v>
      </c>
      <c r="R74" s="108"/>
      <c r="S74" s="108">
        <v>0</v>
      </c>
      <c r="T74" s="108"/>
      <c r="U74" s="108">
        <v>0</v>
      </c>
      <c r="W74" s="108">
        <v>0</v>
      </c>
      <c r="Y74" s="108">
        <v>0</v>
      </c>
      <c r="AA74" s="108">
        <v>685</v>
      </c>
      <c r="AC74" s="4">
        <v>0</v>
      </c>
    </row>
    <row r="75" spans="1:35" s="4" customFormat="1" x14ac:dyDescent="0.2">
      <c r="A75" s="5"/>
      <c r="G75" s="216">
        <f>SUM(G73:G74)</f>
        <v>41361.5</v>
      </c>
      <c r="H75" s="108"/>
      <c r="I75" s="216">
        <f>SUM(I73:I74)</f>
        <v>5181.42</v>
      </c>
      <c r="J75" s="108"/>
      <c r="K75" s="216">
        <f>SUM(K73:K74)</f>
        <v>23098.36</v>
      </c>
      <c r="L75" s="108"/>
      <c r="M75" s="216">
        <f>SUM(M73:M74)</f>
        <v>69641.279999999999</v>
      </c>
      <c r="N75" s="108"/>
      <c r="O75" s="216">
        <v>73767.22</v>
      </c>
      <c r="P75" s="108"/>
      <c r="Q75" s="216">
        <v>69723.41</v>
      </c>
      <c r="R75" s="108"/>
      <c r="S75" s="216">
        <v>65993.849999999991</v>
      </c>
      <c r="T75" s="108"/>
      <c r="U75" s="216">
        <v>57949.14</v>
      </c>
      <c r="W75" s="216">
        <v>44104</v>
      </c>
      <c r="Y75" s="216">
        <v>37100.270000000004</v>
      </c>
      <c r="AA75" s="216">
        <f>SUM(AA73:AA74)</f>
        <v>56923</v>
      </c>
      <c r="AC75" s="4">
        <v>73767.22</v>
      </c>
    </row>
    <row r="76" spans="1:35" s="4" customFormat="1" x14ac:dyDescent="0.2">
      <c r="A76" s="5"/>
      <c r="B76" s="4" t="s">
        <v>136</v>
      </c>
      <c r="G76" s="108">
        <f>'QB_Funds Analysis'!E38</f>
        <v>0</v>
      </c>
      <c r="H76" s="108"/>
      <c r="I76" s="108">
        <f>'QB_Funds Analysis raw'!R34</f>
        <v>1822.5</v>
      </c>
      <c r="J76" s="108"/>
      <c r="K76" s="108">
        <f>'QB_Funds Analysis raw'!M34+'QB_Funds Analysis raw'!W34</f>
        <v>4103.5</v>
      </c>
      <c r="L76" s="108"/>
      <c r="M76" s="108">
        <f>SUM(C76:L76)+1</f>
        <v>5927</v>
      </c>
      <c r="N76" s="108"/>
      <c r="O76" s="108">
        <v>0</v>
      </c>
      <c r="P76" s="108"/>
      <c r="Q76" s="108">
        <v>0</v>
      </c>
      <c r="R76" s="108"/>
      <c r="S76" s="108">
        <v>2094.75</v>
      </c>
      <c r="T76" s="108"/>
      <c r="U76" s="108">
        <v>1345.5</v>
      </c>
      <c r="W76" s="108">
        <v>950.63</v>
      </c>
      <c r="Y76" s="108">
        <v>5610.6</v>
      </c>
      <c r="AA76" s="108">
        <v>262</v>
      </c>
      <c r="AC76" s="4">
        <v>0</v>
      </c>
    </row>
    <row r="77" spans="1:35" s="4" customFormat="1" x14ac:dyDescent="0.2">
      <c r="A77" s="5"/>
      <c r="B77" s="4" t="s">
        <v>137</v>
      </c>
      <c r="G77" s="108">
        <v>0</v>
      </c>
      <c r="H77" s="108"/>
      <c r="I77" s="108">
        <v>0</v>
      </c>
      <c r="J77" s="108"/>
      <c r="K77" s="108">
        <v>0</v>
      </c>
      <c r="L77" s="108"/>
      <c r="M77" s="108">
        <f>SUM(C77:L77)</f>
        <v>0</v>
      </c>
      <c r="N77" s="108"/>
      <c r="O77" s="108">
        <v>0</v>
      </c>
      <c r="P77" s="108"/>
      <c r="Q77" s="108">
        <v>0</v>
      </c>
      <c r="R77" s="108"/>
      <c r="S77" s="108">
        <v>0</v>
      </c>
      <c r="T77" s="108"/>
      <c r="U77" s="108">
        <v>0</v>
      </c>
      <c r="W77" s="108">
        <v>0</v>
      </c>
      <c r="Y77" s="108">
        <v>0</v>
      </c>
      <c r="AA77" s="108">
        <v>3000</v>
      </c>
      <c r="AC77" s="4">
        <v>0</v>
      </c>
    </row>
    <row r="78" spans="1:35" s="4" customFormat="1" x14ac:dyDescent="0.2">
      <c r="A78" s="5"/>
      <c r="B78" s="4" t="s">
        <v>377</v>
      </c>
      <c r="G78" s="108">
        <f>'QB_Funds Analysis raw'!Y36</f>
        <v>1402.37</v>
      </c>
      <c r="H78" s="108"/>
      <c r="I78" s="108">
        <v>0</v>
      </c>
      <c r="J78" s="108"/>
      <c r="K78" s="108">
        <v>0</v>
      </c>
      <c r="L78" s="108"/>
      <c r="M78" s="108">
        <f>SUM(C78:L78)</f>
        <v>1402.37</v>
      </c>
      <c r="N78" s="108"/>
      <c r="O78" s="108">
        <v>1399.2</v>
      </c>
      <c r="P78" s="108"/>
      <c r="Q78" s="108">
        <v>1280.1600000000001</v>
      </c>
      <c r="R78" s="108"/>
      <c r="S78" s="108">
        <v>872.3</v>
      </c>
      <c r="T78" s="108"/>
      <c r="U78" s="108">
        <v>487.96</v>
      </c>
      <c r="W78" s="108">
        <v>26</v>
      </c>
      <c r="Y78" s="108">
        <v>0</v>
      </c>
      <c r="AA78" s="108">
        <v>0</v>
      </c>
      <c r="AC78" s="4">
        <v>1399.2</v>
      </c>
    </row>
    <row r="79" spans="1:35" s="4" customFormat="1" x14ac:dyDescent="0.2">
      <c r="A79" s="5"/>
      <c r="G79" s="115">
        <f>SUM(G75:G78)</f>
        <v>42763.87</v>
      </c>
      <c r="H79" s="108"/>
      <c r="I79" s="115">
        <f>SUM(I75:I78)</f>
        <v>7003.92</v>
      </c>
      <c r="J79" s="108"/>
      <c r="K79" s="115">
        <f>SUM(K75:K78)</f>
        <v>27201.86</v>
      </c>
      <c r="L79" s="108"/>
      <c r="M79" s="115">
        <f>SUM(M75:M78)-1</f>
        <v>76969.649999999994</v>
      </c>
      <c r="N79" s="108"/>
      <c r="O79" s="115">
        <v>75166.42</v>
      </c>
      <c r="P79" s="108"/>
      <c r="Q79" s="115">
        <v>71002.570000000007</v>
      </c>
      <c r="R79" s="108"/>
      <c r="S79" s="115">
        <v>68960.899999999994</v>
      </c>
      <c r="T79" s="108"/>
      <c r="U79" s="115">
        <v>59782.6</v>
      </c>
      <c r="W79" s="115">
        <v>45080.22</v>
      </c>
      <c r="Y79" s="115">
        <v>42710.87</v>
      </c>
      <c r="AA79" s="115">
        <f>SUM(AA75:AA77)</f>
        <v>60185</v>
      </c>
      <c r="AC79" s="4">
        <v>75166.42</v>
      </c>
    </row>
    <row r="80" spans="1:35" s="4" customFormat="1" x14ac:dyDescent="0.2">
      <c r="A80" s="5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W80" s="108"/>
    </row>
    <row r="81" spans="1:27" s="4" customFormat="1" x14ac:dyDescent="0.2">
      <c r="A81" s="5"/>
      <c r="B81" s="4" t="s">
        <v>138</v>
      </c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W81" s="108"/>
    </row>
    <row r="82" spans="1:27" s="4" customFormat="1" x14ac:dyDescent="0.2">
      <c r="A82" s="5"/>
      <c r="C82" s="4" t="s">
        <v>139</v>
      </c>
      <c r="G82" s="218">
        <v>1</v>
      </c>
      <c r="H82" s="218"/>
      <c r="I82" s="218">
        <v>0</v>
      </c>
      <c r="J82" s="218"/>
      <c r="K82" s="218">
        <v>0</v>
      </c>
      <c r="L82" s="218"/>
      <c r="M82" s="218">
        <f>SUM(G82:K82)</f>
        <v>1</v>
      </c>
      <c r="N82" s="218"/>
      <c r="O82" s="218">
        <v>1</v>
      </c>
      <c r="P82" s="218"/>
      <c r="Q82" s="218">
        <v>1</v>
      </c>
      <c r="R82" s="218"/>
      <c r="S82" s="218">
        <v>1</v>
      </c>
      <c r="T82" s="218"/>
      <c r="U82" s="218">
        <v>0</v>
      </c>
      <c r="V82" s="218"/>
      <c r="W82" s="218">
        <v>0</v>
      </c>
      <c r="X82" s="218"/>
      <c r="Y82" s="218">
        <v>0</v>
      </c>
      <c r="Z82" s="218"/>
      <c r="AA82" s="218"/>
    </row>
    <row r="83" spans="1:27" s="4" customFormat="1" x14ac:dyDescent="0.2">
      <c r="A83" s="5"/>
      <c r="C83" s="4" t="s">
        <v>140</v>
      </c>
      <c r="G83" s="218">
        <v>3</v>
      </c>
      <c r="H83" s="218"/>
      <c r="I83" s="218">
        <f>'Staff Costs'!P38</f>
        <v>1</v>
      </c>
      <c r="J83" s="218"/>
      <c r="K83" s="218">
        <f>'Staff Costs'!W38</f>
        <v>4.083333333333333</v>
      </c>
      <c r="L83" s="218"/>
      <c r="M83" s="218">
        <f>SUM(G83:K83)</f>
        <v>8.0833333333333321</v>
      </c>
      <c r="N83" s="218"/>
      <c r="O83" s="218">
        <v>7</v>
      </c>
      <c r="P83" s="218"/>
      <c r="Q83" s="218">
        <v>7</v>
      </c>
      <c r="R83" s="218"/>
      <c r="S83" s="218">
        <v>7.916666666666667</v>
      </c>
      <c r="T83" s="218"/>
      <c r="U83" s="218">
        <v>8.75</v>
      </c>
      <c r="V83" s="218"/>
      <c r="W83" s="218">
        <v>7.0833333333333339</v>
      </c>
      <c r="X83" s="218"/>
      <c r="Y83" s="218">
        <v>7.0833333333333339</v>
      </c>
      <c r="Z83" s="218"/>
      <c r="AA83" s="218"/>
    </row>
    <row r="84" spans="1:27" s="4" customFormat="1" x14ac:dyDescent="0.2">
      <c r="A84" s="5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</row>
    <row r="85" spans="1:27" s="4" customFormat="1" x14ac:dyDescent="0.2">
      <c r="A85" s="5"/>
      <c r="B85" s="4" t="s">
        <v>141</v>
      </c>
      <c r="G85" s="218">
        <v>1.6</v>
      </c>
      <c r="H85" s="218"/>
      <c r="I85" s="218">
        <v>0.3</v>
      </c>
      <c r="J85" s="218"/>
      <c r="K85" s="218">
        <v>0.7</v>
      </c>
      <c r="L85" s="218"/>
      <c r="M85" s="218">
        <f>SUM(G85:K85)</f>
        <v>2.6</v>
      </c>
      <c r="N85" s="218"/>
      <c r="O85" s="218">
        <v>2.6</v>
      </c>
      <c r="Q85" s="4">
        <v>1.5</v>
      </c>
      <c r="R85" s="218"/>
      <c r="S85" s="218">
        <v>1.29</v>
      </c>
      <c r="T85" s="218"/>
      <c r="U85" s="218">
        <v>1.29</v>
      </c>
      <c r="V85" s="218"/>
      <c r="W85" s="218">
        <v>1.5100000000000002</v>
      </c>
      <c r="X85" s="218"/>
      <c r="Y85" s="218">
        <v>1.8800000000000001</v>
      </c>
      <c r="Z85" s="218"/>
      <c r="AA85" s="218"/>
    </row>
    <row r="86" spans="1:27" s="4" customFormat="1" x14ac:dyDescent="0.2">
      <c r="A86" s="5">
        <f>A71+1</f>
        <v>7</v>
      </c>
      <c r="B86" s="6" t="s">
        <v>142</v>
      </c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</row>
    <row r="87" spans="1:27" s="4" customFormat="1" x14ac:dyDescent="0.2">
      <c r="A87" s="5"/>
      <c r="B87" s="6"/>
      <c r="G87" s="107" t="s">
        <v>143</v>
      </c>
      <c r="H87" s="108"/>
      <c r="I87" s="214" t="s">
        <v>144</v>
      </c>
      <c r="J87" s="108"/>
      <c r="K87" s="214" t="s">
        <v>332</v>
      </c>
      <c r="L87" s="214"/>
      <c r="M87" s="214" t="s">
        <v>406</v>
      </c>
      <c r="N87" s="214"/>
      <c r="O87" s="214" t="s">
        <v>407</v>
      </c>
      <c r="Q87" s="107" t="s">
        <v>108</v>
      </c>
    </row>
    <row r="88" spans="1:27" s="4" customFormat="1" x14ac:dyDescent="0.2">
      <c r="A88" s="5"/>
      <c r="B88" s="6"/>
      <c r="G88" s="118" t="s">
        <v>145</v>
      </c>
      <c r="H88" s="108"/>
      <c r="I88" s="118" t="s">
        <v>145</v>
      </c>
      <c r="J88" s="108"/>
      <c r="K88" s="118" t="s">
        <v>145</v>
      </c>
      <c r="M88" s="118" t="s">
        <v>145</v>
      </c>
      <c r="O88" s="118" t="s">
        <v>145</v>
      </c>
      <c r="Q88" s="118" t="s">
        <v>145</v>
      </c>
    </row>
    <row r="89" spans="1:27" s="4" customFormat="1" x14ac:dyDescent="0.2">
      <c r="A89" s="5"/>
      <c r="G89" s="118"/>
      <c r="H89" s="108"/>
      <c r="I89" s="108"/>
      <c r="J89" s="108"/>
      <c r="S89" s="108"/>
    </row>
    <row r="90" spans="1:27" s="4" customFormat="1" x14ac:dyDescent="0.2">
      <c r="A90" s="5"/>
      <c r="B90" s="6" t="s">
        <v>146</v>
      </c>
      <c r="G90" s="118"/>
      <c r="H90" s="108"/>
      <c r="I90" s="108"/>
      <c r="J90" s="108"/>
      <c r="S90" s="108"/>
    </row>
    <row r="91" spans="1:27" s="4" customFormat="1" x14ac:dyDescent="0.2">
      <c r="A91" s="5"/>
      <c r="B91" s="4" t="s">
        <v>573</v>
      </c>
      <c r="G91" s="111">
        <f>'Fixed Assets'!M53+1</f>
        <v>12934.31</v>
      </c>
      <c r="H91" s="108"/>
      <c r="I91" s="108">
        <f>'Fixed Assets'!M25</f>
        <v>12935.6</v>
      </c>
      <c r="J91" s="108"/>
      <c r="K91" s="108">
        <f>'Fixed Assets'!M60</f>
        <v>9082.7999999999993</v>
      </c>
      <c r="L91" s="108"/>
      <c r="M91" s="108">
        <f>'Fixed Assets'!M68</f>
        <v>1147.6199999999999</v>
      </c>
      <c r="N91" s="108"/>
      <c r="O91" s="108">
        <f>'Fixed Assets'!M31</f>
        <v>530</v>
      </c>
      <c r="Q91" s="111">
        <f>G91+I91+K91+M91+O91+1</f>
        <v>36631.33</v>
      </c>
    </row>
    <row r="92" spans="1:27" s="4" customFormat="1" x14ac:dyDescent="0.2">
      <c r="A92" s="5"/>
      <c r="B92" s="4" t="s">
        <v>147</v>
      </c>
      <c r="G92" s="111">
        <f>'Fixed Assets'!N53</f>
        <v>0</v>
      </c>
      <c r="H92" s="111"/>
      <c r="I92" s="111">
        <f>'Fixed Assets'!N25</f>
        <v>0</v>
      </c>
      <c r="J92" s="108"/>
      <c r="K92" s="111">
        <f>'Fixed Assets'!N60</f>
        <v>0</v>
      </c>
      <c r="L92" s="111"/>
      <c r="M92" s="111">
        <f>'Fixed Assets'!N66</f>
        <v>1884.88</v>
      </c>
      <c r="N92" s="111"/>
      <c r="O92" s="111"/>
      <c r="Q92" s="111">
        <f>G92+I92+K92+M92+O92</f>
        <v>1884.88</v>
      </c>
    </row>
    <row r="93" spans="1:27" s="4" customFormat="1" x14ac:dyDescent="0.2">
      <c r="A93" s="5"/>
      <c r="B93" s="4" t="s">
        <v>148</v>
      </c>
      <c r="G93" s="111">
        <f>'Fixed Assets'!O44</f>
        <v>0</v>
      </c>
      <c r="H93" s="111"/>
      <c r="I93" s="111">
        <f>'Fixed Assets'!O23</f>
        <v>0</v>
      </c>
      <c r="J93" s="108"/>
      <c r="K93" s="111">
        <f>'Fixed Assets'!O48</f>
        <v>0</v>
      </c>
      <c r="L93" s="111"/>
      <c r="M93" s="111">
        <f>'Fixed Assets'!Q48</f>
        <v>0</v>
      </c>
      <c r="N93" s="111"/>
      <c r="O93" s="111">
        <f>'Fixed Assets'!S48</f>
        <v>0</v>
      </c>
      <c r="Q93" s="111">
        <f>G93+I93+K93+M93+O93</f>
        <v>0</v>
      </c>
    </row>
    <row r="94" spans="1:27" s="4" customFormat="1" x14ac:dyDescent="0.2">
      <c r="A94" s="5"/>
      <c r="B94" s="6" t="s">
        <v>574</v>
      </c>
      <c r="G94" s="117">
        <f>SUM(G91:G93)</f>
        <v>12934.31</v>
      </c>
      <c r="H94" s="111"/>
      <c r="I94" s="117">
        <f>SUM(I91:I93)</f>
        <v>12935.6</v>
      </c>
      <c r="J94" s="108"/>
      <c r="K94" s="117">
        <f>SUM(K91:K93)</f>
        <v>9082.7999999999993</v>
      </c>
      <c r="L94" s="111"/>
      <c r="M94" s="117">
        <f>SUM(M91:M93)</f>
        <v>3032.5</v>
      </c>
      <c r="N94" s="111"/>
      <c r="O94" s="117">
        <f>SUM(O91:O93)</f>
        <v>530</v>
      </c>
      <c r="Q94" s="117">
        <f>SUM(Q91:Q93)</f>
        <v>38516.21</v>
      </c>
    </row>
    <row r="95" spans="1:27" s="4" customFormat="1" x14ac:dyDescent="0.2">
      <c r="A95" s="5"/>
      <c r="B95" s="6"/>
      <c r="G95" s="111"/>
      <c r="H95" s="111"/>
      <c r="I95" s="111"/>
      <c r="J95" s="108"/>
      <c r="K95" s="111"/>
      <c r="L95" s="111"/>
      <c r="M95" s="111"/>
      <c r="N95" s="111"/>
      <c r="O95" s="111"/>
      <c r="Q95" s="111"/>
    </row>
    <row r="96" spans="1:27" s="4" customFormat="1" x14ac:dyDescent="0.2">
      <c r="A96" s="5"/>
      <c r="B96" s="6" t="s">
        <v>149</v>
      </c>
      <c r="G96" s="111"/>
      <c r="H96" s="111"/>
      <c r="I96" s="111"/>
      <c r="J96" s="108"/>
      <c r="K96" s="111"/>
      <c r="L96" s="111"/>
      <c r="M96" s="111"/>
      <c r="N96" s="111"/>
      <c r="O96" s="111"/>
      <c r="Q96" s="111"/>
    </row>
    <row r="97" spans="1:31" s="4" customFormat="1" x14ac:dyDescent="0.2">
      <c r="A97" s="5"/>
      <c r="B97" s="4" t="s">
        <v>573</v>
      </c>
      <c r="G97" s="111">
        <f>'Fixed Assets'!R53</f>
        <v>11924.197999999999</v>
      </c>
      <c r="H97" s="111"/>
      <c r="I97" s="111">
        <f>'Fixed Assets'!R25</f>
        <v>12935.6</v>
      </c>
      <c r="J97" s="108"/>
      <c r="K97" s="111">
        <f>'Fixed Assets'!R60+1</f>
        <v>4955.2545454545461</v>
      </c>
      <c r="L97" s="111"/>
      <c r="M97" s="111">
        <f>'Fixed Assets'!R68</f>
        <v>918.09400000000005</v>
      </c>
      <c r="N97" s="111"/>
      <c r="O97" s="111">
        <f>'Fixed Assets'!R31</f>
        <v>530</v>
      </c>
      <c r="Q97" s="111">
        <f>G97+I97+K97+M97+O97</f>
        <v>31263.146545454547</v>
      </c>
    </row>
    <row r="98" spans="1:31" s="4" customFormat="1" x14ac:dyDescent="0.2">
      <c r="A98" s="5"/>
      <c r="B98" s="4" t="s">
        <v>150</v>
      </c>
      <c r="G98" s="111">
        <f>'Fixed Assets'!T53</f>
        <v>673.73599999999999</v>
      </c>
      <c r="H98" s="111"/>
      <c r="I98" s="111">
        <f>'Fixed Assets'!T25</f>
        <v>0</v>
      </c>
      <c r="J98" s="108"/>
      <c r="K98" s="111">
        <f>'Fixed Assets'!T60</f>
        <v>825.70909090909095</v>
      </c>
      <c r="L98" s="111"/>
      <c r="M98" s="111">
        <f>'Fixed Assets'!T68</f>
        <v>606.50199999999984</v>
      </c>
      <c r="N98" s="111"/>
      <c r="O98" s="111">
        <f>'Fixed Assets'!T31</f>
        <v>0</v>
      </c>
      <c r="Q98" s="111">
        <f>G98+I98+K98+M98+O98+1</f>
        <v>2106.947090909091</v>
      </c>
    </row>
    <row r="99" spans="1:31" s="4" customFormat="1" x14ac:dyDescent="0.2">
      <c r="A99" s="5"/>
      <c r="B99" s="4" t="s">
        <v>148</v>
      </c>
      <c r="G99" s="111">
        <v>0</v>
      </c>
      <c r="H99" s="111"/>
      <c r="I99" s="111">
        <v>0</v>
      </c>
      <c r="J99" s="108"/>
      <c r="K99" s="111">
        <v>0</v>
      </c>
      <c r="L99" s="111"/>
      <c r="M99" s="111">
        <v>0</v>
      </c>
      <c r="N99" s="111"/>
      <c r="O99" s="111">
        <v>0</v>
      </c>
      <c r="Q99" s="111">
        <f>G99+I99+K99+M99+O99</f>
        <v>0</v>
      </c>
    </row>
    <row r="100" spans="1:31" s="4" customFormat="1" x14ac:dyDescent="0.2">
      <c r="A100" s="5"/>
      <c r="B100" s="6" t="s">
        <v>574</v>
      </c>
      <c r="G100" s="117">
        <f>SUM(G97:G99)</f>
        <v>12597.933999999999</v>
      </c>
      <c r="H100" s="111"/>
      <c r="I100" s="117">
        <f>SUM(I97:I99)</f>
        <v>12935.6</v>
      </c>
      <c r="J100" s="108"/>
      <c r="K100" s="117">
        <f>SUM(K97:K99)</f>
        <v>5780.9636363636373</v>
      </c>
      <c r="L100" s="111"/>
      <c r="M100" s="117">
        <f>SUM(M97:M99)</f>
        <v>1524.596</v>
      </c>
      <c r="N100" s="111"/>
      <c r="O100" s="117">
        <f>SUM(O97:O99)</f>
        <v>530</v>
      </c>
      <c r="Q100" s="117">
        <f>SUM(Q97:Q99)</f>
        <v>33370.093636363636</v>
      </c>
    </row>
    <row r="101" spans="1:31" s="4" customFormat="1" x14ac:dyDescent="0.2">
      <c r="A101" s="5"/>
      <c r="B101" s="6"/>
      <c r="G101" s="111"/>
      <c r="H101" s="111"/>
      <c r="I101" s="111"/>
      <c r="J101" s="108"/>
      <c r="K101" s="111"/>
      <c r="L101" s="111"/>
      <c r="M101" s="111"/>
      <c r="N101" s="111"/>
      <c r="O101" s="111"/>
      <c r="Q101" s="111"/>
    </row>
    <row r="102" spans="1:31" s="4" customFormat="1" x14ac:dyDescent="0.2">
      <c r="A102" s="5"/>
      <c r="B102" s="6"/>
      <c r="G102" s="111"/>
      <c r="H102" s="111"/>
      <c r="I102" s="111"/>
      <c r="J102" s="108"/>
      <c r="K102" s="111"/>
      <c r="L102" s="111"/>
      <c r="M102" s="111"/>
      <c r="N102" s="111"/>
      <c r="O102" s="111"/>
      <c r="Q102" s="111"/>
    </row>
    <row r="103" spans="1:31" s="4" customFormat="1" ht="13.5" thickBot="1" x14ac:dyDescent="0.25">
      <c r="A103" s="5"/>
      <c r="B103" s="6" t="s">
        <v>484</v>
      </c>
      <c r="G103" s="227">
        <f>G91-G97</f>
        <v>1010.112000000001</v>
      </c>
      <c r="H103" s="111"/>
      <c r="I103" s="227">
        <f>I91-I97</f>
        <v>0</v>
      </c>
      <c r="J103" s="108"/>
      <c r="K103" s="227">
        <f>K91-K97</f>
        <v>4127.5454545454531</v>
      </c>
      <c r="L103" s="228"/>
      <c r="M103" s="227">
        <f>M91-M97</f>
        <v>229.52599999999984</v>
      </c>
      <c r="N103" s="228"/>
      <c r="O103" s="227">
        <f>O91-O97</f>
        <v>0</v>
      </c>
      <c r="Q103" s="227">
        <f>Q91-Q97</f>
        <v>5368.1834545454549</v>
      </c>
      <c r="U103" s="228"/>
      <c r="V103" s="111"/>
      <c r="W103" s="228"/>
      <c r="X103" s="214"/>
      <c r="Y103" s="228"/>
      <c r="Z103" s="228"/>
      <c r="AA103" s="228"/>
      <c r="AB103" s="228"/>
      <c r="AC103" s="228"/>
      <c r="AE103" s="228"/>
    </row>
    <row r="104" spans="1:31" s="4" customFormat="1" ht="13.5" thickTop="1" x14ac:dyDescent="0.2">
      <c r="A104" s="5"/>
      <c r="B104" s="6"/>
      <c r="G104" s="111"/>
      <c r="H104" s="111"/>
      <c r="I104" s="111"/>
      <c r="J104" s="108"/>
      <c r="K104" s="111"/>
      <c r="L104" s="111"/>
      <c r="M104" s="111"/>
      <c r="N104" s="111"/>
      <c r="O104" s="111"/>
      <c r="Q104" s="111"/>
    </row>
    <row r="105" spans="1:31" s="4" customFormat="1" ht="13.5" thickBot="1" x14ac:dyDescent="0.25">
      <c r="A105" s="5"/>
      <c r="B105" s="6" t="s">
        <v>575</v>
      </c>
      <c r="G105" s="227">
        <f>G94-G100</f>
        <v>336.3760000000002</v>
      </c>
      <c r="H105" s="111"/>
      <c r="I105" s="227">
        <f>I94-I100</f>
        <v>0</v>
      </c>
      <c r="J105" s="214"/>
      <c r="K105" s="227">
        <f>K94-K100</f>
        <v>3301.836363636362</v>
      </c>
      <c r="L105" s="228"/>
      <c r="M105" s="227">
        <f>M94-M100</f>
        <v>1507.904</v>
      </c>
      <c r="N105" s="228"/>
      <c r="O105" s="227">
        <f>O94-O100</f>
        <v>0</v>
      </c>
      <c r="Q105" s="227">
        <f>Q94-Q100</f>
        <v>5146.1163636363635</v>
      </c>
    </row>
    <row r="106" spans="1:31" s="4" customFormat="1" ht="13.5" thickTop="1" x14ac:dyDescent="0.2">
      <c r="A106" s="5"/>
      <c r="G106" s="111"/>
      <c r="H106" s="111"/>
      <c r="I106" s="111"/>
      <c r="J106" s="108"/>
      <c r="K106" s="111"/>
      <c r="L106" s="111"/>
      <c r="M106" s="111"/>
      <c r="N106" s="111"/>
      <c r="O106" s="111"/>
      <c r="P106" s="111"/>
      <c r="Q106" s="111"/>
    </row>
    <row r="108" spans="1:31" x14ac:dyDescent="0.2">
      <c r="G108" s="76"/>
      <c r="H108" s="76"/>
      <c r="I108" s="76"/>
      <c r="J108" s="72"/>
      <c r="K108" s="76"/>
      <c r="L108" s="76"/>
      <c r="M108" s="76"/>
      <c r="N108" s="76"/>
      <c r="O108" s="76"/>
    </row>
    <row r="109" spans="1:31" s="4" customFormat="1" x14ac:dyDescent="0.2">
      <c r="A109" s="5">
        <f>A86+1</f>
        <v>8</v>
      </c>
      <c r="B109" s="6" t="s">
        <v>151</v>
      </c>
      <c r="G109" s="108"/>
      <c r="H109" s="108"/>
      <c r="I109" s="108"/>
      <c r="J109" s="108"/>
      <c r="K109" s="108"/>
      <c r="L109" s="108"/>
      <c r="M109" s="108"/>
      <c r="N109" s="108"/>
      <c r="O109" s="108"/>
    </row>
    <row r="110" spans="1:31" s="4" customFormat="1" x14ac:dyDescent="0.2">
      <c r="A110" s="5"/>
      <c r="G110" s="5">
        <v>2023</v>
      </c>
      <c r="H110" s="5"/>
      <c r="I110" s="5">
        <v>2022</v>
      </c>
      <c r="J110" s="5"/>
      <c r="K110" s="5">
        <v>2021</v>
      </c>
      <c r="L110" s="5"/>
      <c r="M110" s="5">
        <v>2020</v>
      </c>
      <c r="N110" s="5"/>
      <c r="O110" s="5">
        <v>2019</v>
      </c>
      <c r="Q110" s="5">
        <v>2018</v>
      </c>
      <c r="S110" s="5">
        <v>2017</v>
      </c>
      <c r="T110" s="108"/>
      <c r="U110" s="5">
        <v>2016</v>
      </c>
      <c r="V110" s="108"/>
      <c r="W110" s="108"/>
      <c r="X110" s="108"/>
      <c r="Y110" s="108"/>
    </row>
    <row r="111" spans="1:31" s="4" customFormat="1" x14ac:dyDescent="0.2">
      <c r="A111" s="5"/>
      <c r="G111" s="118" t="s">
        <v>145</v>
      </c>
      <c r="H111" s="118"/>
      <c r="I111" s="118" t="s">
        <v>145</v>
      </c>
      <c r="J111" s="118"/>
      <c r="K111" s="118" t="s">
        <v>145</v>
      </c>
      <c r="L111" s="118"/>
      <c r="M111" s="118" t="s">
        <v>145</v>
      </c>
      <c r="N111" s="118"/>
      <c r="O111" s="118" t="s">
        <v>145</v>
      </c>
      <c r="Q111" s="118" t="s">
        <v>145</v>
      </c>
      <c r="S111" s="118" t="s">
        <v>145</v>
      </c>
      <c r="T111" s="108"/>
      <c r="U111" s="118" t="s">
        <v>145</v>
      </c>
      <c r="V111" s="108"/>
      <c r="W111" s="108"/>
      <c r="X111" s="108"/>
      <c r="Y111" s="108"/>
    </row>
    <row r="112" spans="1:31" s="4" customFormat="1" x14ac:dyDescent="0.2">
      <c r="A112" s="5"/>
      <c r="B112" s="4" t="s">
        <v>152</v>
      </c>
      <c r="G112" s="108">
        <f>'QB_Balance Sheet'!B32-G114+'QB_Balance Sheet'!B37</f>
        <v>3584.77</v>
      </c>
      <c r="H112" s="108"/>
      <c r="I112" s="108">
        <v>5082</v>
      </c>
      <c r="J112" s="108"/>
      <c r="K112" s="108">
        <v>4358.38</v>
      </c>
      <c r="L112" s="108"/>
      <c r="M112" s="108">
        <v>1525.14</v>
      </c>
      <c r="N112" s="108"/>
      <c r="O112" s="108">
        <v>3995.95</v>
      </c>
      <c r="Q112" s="108">
        <v>2962</v>
      </c>
      <c r="S112" s="108">
        <v>3185.01</v>
      </c>
      <c r="T112" s="108"/>
      <c r="U112" s="108">
        <v>4375</v>
      </c>
      <c r="V112" s="108"/>
      <c r="W112" s="108"/>
      <c r="X112" s="108"/>
      <c r="Y112" s="108"/>
    </row>
    <row r="113" spans="1:25" s="4" customFormat="1" x14ac:dyDescent="0.2">
      <c r="A113" s="5"/>
      <c r="B113" s="4" t="s">
        <v>153</v>
      </c>
      <c r="G113" s="108">
        <f>'QB_Balance Sheet'!B35</f>
        <v>1555</v>
      </c>
      <c r="H113" s="108"/>
      <c r="I113" s="108">
        <v>1555</v>
      </c>
      <c r="J113" s="108"/>
      <c r="K113" s="108">
        <v>1497.36</v>
      </c>
      <c r="L113" s="108"/>
      <c r="M113" s="108">
        <v>1077</v>
      </c>
      <c r="N113" s="108"/>
      <c r="O113" s="108">
        <v>1101</v>
      </c>
      <c r="Q113" s="108">
        <v>583</v>
      </c>
      <c r="S113" s="108">
        <v>0</v>
      </c>
      <c r="T113" s="108"/>
      <c r="U113" s="108">
        <v>0</v>
      </c>
      <c r="V113" s="108"/>
      <c r="W113" s="108"/>
      <c r="X113" s="108"/>
      <c r="Y113" s="108"/>
    </row>
    <row r="114" spans="1:25" s="4" customFormat="1" x14ac:dyDescent="0.2">
      <c r="A114" s="5"/>
      <c r="B114" s="4" t="s">
        <v>410</v>
      </c>
      <c r="G114" s="108">
        <f>'QB_Balance Sheet'!B31</f>
        <v>135.09</v>
      </c>
      <c r="H114" s="108"/>
      <c r="I114" s="108">
        <v>135.09</v>
      </c>
      <c r="J114" s="108"/>
      <c r="K114" s="108">
        <v>0</v>
      </c>
      <c r="L114" s="108"/>
      <c r="M114" s="108">
        <v>0</v>
      </c>
      <c r="N114" s="108"/>
      <c r="O114" s="108">
        <v>348.34000000000003</v>
      </c>
      <c r="Q114" s="108">
        <v>105</v>
      </c>
      <c r="S114" s="108">
        <v>0</v>
      </c>
      <c r="T114" s="108"/>
      <c r="U114" s="108">
        <v>0</v>
      </c>
      <c r="V114" s="108"/>
      <c r="W114" s="108"/>
      <c r="X114" s="108"/>
      <c r="Y114" s="108"/>
    </row>
    <row r="115" spans="1:25" s="4" customFormat="1" x14ac:dyDescent="0.2">
      <c r="A115" s="5"/>
      <c r="G115" s="108"/>
      <c r="H115" s="108"/>
      <c r="I115" s="108"/>
      <c r="J115" s="108"/>
      <c r="K115" s="108"/>
      <c r="L115" s="108"/>
      <c r="M115" s="108"/>
      <c r="N115" s="108"/>
      <c r="O115" s="108"/>
      <c r="Q115" s="108"/>
      <c r="S115" s="108"/>
      <c r="T115" s="108"/>
      <c r="U115" s="108"/>
      <c r="V115" s="108"/>
      <c r="W115" s="108"/>
      <c r="X115" s="108"/>
      <c r="Y115" s="108"/>
    </row>
    <row r="116" spans="1:25" s="4" customFormat="1" x14ac:dyDescent="0.2">
      <c r="A116" s="5"/>
      <c r="G116" s="115">
        <f>SUM(G112:G115)</f>
        <v>5274.8600000000006</v>
      </c>
      <c r="H116" s="108"/>
      <c r="I116" s="115">
        <v>5273.8600000000006</v>
      </c>
      <c r="J116" s="108"/>
      <c r="K116" s="115">
        <v>5854.74</v>
      </c>
      <c r="L116" s="108"/>
      <c r="M116" s="115">
        <v>2602.1400000000003</v>
      </c>
      <c r="N116" s="108"/>
      <c r="O116" s="115">
        <v>5445</v>
      </c>
      <c r="Q116" s="115">
        <v>3650</v>
      </c>
      <c r="S116" s="115">
        <v>3185.01</v>
      </c>
      <c r="T116" s="108"/>
      <c r="U116" s="115">
        <v>4375</v>
      </c>
      <c r="V116" s="108"/>
      <c r="W116" s="108"/>
      <c r="X116" s="108"/>
      <c r="Y116" s="108"/>
    </row>
    <row r="117" spans="1:25" x14ac:dyDescent="0.2">
      <c r="G117" s="72"/>
      <c r="H117" s="72"/>
      <c r="I117" s="72"/>
      <c r="J117" s="72"/>
      <c r="K117" s="72"/>
      <c r="L117" s="72"/>
      <c r="M117" s="72"/>
      <c r="N117" s="72"/>
      <c r="O117" s="72"/>
      <c r="Q117" s="72"/>
      <c r="S117" s="72"/>
      <c r="T117" s="72"/>
      <c r="U117" s="72"/>
      <c r="V117" s="72"/>
      <c r="W117" s="72"/>
      <c r="X117" s="72"/>
      <c r="Y117" s="72"/>
    </row>
    <row r="118" spans="1:25" s="4" customFormat="1" x14ac:dyDescent="0.2">
      <c r="A118" s="5">
        <f>A109+1</f>
        <v>9</v>
      </c>
      <c r="B118" s="4" t="s">
        <v>154</v>
      </c>
      <c r="G118" s="108"/>
      <c r="H118" s="108"/>
      <c r="I118" s="108"/>
      <c r="J118" s="108"/>
      <c r="K118" s="108"/>
      <c r="L118" s="108"/>
      <c r="M118" s="108"/>
      <c r="N118" s="108"/>
      <c r="O118" s="108"/>
      <c r="Q118" s="108"/>
      <c r="S118" s="108"/>
      <c r="T118" s="108"/>
      <c r="U118" s="108"/>
      <c r="V118" s="108"/>
      <c r="W118" s="108"/>
      <c r="X118" s="108"/>
      <c r="Y118" s="108"/>
    </row>
    <row r="119" spans="1:25" s="4" customFormat="1" x14ac:dyDescent="0.2">
      <c r="A119" s="5"/>
      <c r="G119" s="5">
        <v>2023</v>
      </c>
      <c r="H119" s="5"/>
      <c r="I119" s="5">
        <v>2022</v>
      </c>
      <c r="J119" s="5"/>
      <c r="K119" s="5">
        <v>2021</v>
      </c>
      <c r="L119" s="5"/>
      <c r="M119" s="5">
        <v>2020</v>
      </c>
      <c r="N119" s="5"/>
      <c r="O119" s="5">
        <v>2019</v>
      </c>
      <c r="Q119" s="5">
        <v>2018</v>
      </c>
      <c r="S119" s="5">
        <v>2017</v>
      </c>
      <c r="T119" s="108"/>
      <c r="U119" s="5">
        <v>2016</v>
      </c>
      <c r="V119" s="108"/>
      <c r="W119" s="108"/>
      <c r="X119" s="108"/>
      <c r="Y119" s="108"/>
    </row>
    <row r="120" spans="1:25" s="4" customFormat="1" x14ac:dyDescent="0.2">
      <c r="A120" s="5"/>
      <c r="G120" s="118" t="s">
        <v>145</v>
      </c>
      <c r="H120" s="118"/>
      <c r="I120" s="118" t="s">
        <v>145</v>
      </c>
      <c r="J120" s="118"/>
      <c r="K120" s="118" t="s">
        <v>145</v>
      </c>
      <c r="L120" s="118"/>
      <c r="M120" s="118" t="s">
        <v>145</v>
      </c>
      <c r="N120" s="118"/>
      <c r="O120" s="118" t="s">
        <v>145</v>
      </c>
      <c r="Q120" s="118" t="s">
        <v>145</v>
      </c>
      <c r="S120" s="118" t="s">
        <v>145</v>
      </c>
      <c r="T120" s="108"/>
      <c r="U120" s="118" t="s">
        <v>145</v>
      </c>
      <c r="V120" s="108"/>
      <c r="W120" s="108"/>
      <c r="X120" s="108"/>
      <c r="Y120" s="108"/>
    </row>
    <row r="121" spans="1:25" s="4" customFormat="1" x14ac:dyDescent="0.2">
      <c r="A121" s="5"/>
      <c r="B121" s="4" t="s">
        <v>155</v>
      </c>
      <c r="G121" s="108">
        <f>-'QB_Balance Sheet'!B43</f>
        <v>-7283.26</v>
      </c>
      <c r="H121" s="108"/>
      <c r="I121" s="108">
        <v>-4181.05</v>
      </c>
      <c r="J121" s="108"/>
      <c r="K121" s="108">
        <v>-2826.88</v>
      </c>
      <c r="L121" s="108"/>
      <c r="M121" s="108">
        <v>-3459.93</v>
      </c>
      <c r="N121" s="108"/>
      <c r="O121" s="108">
        <v>-2494.46</v>
      </c>
      <c r="Q121" s="108">
        <v>-1854</v>
      </c>
      <c r="S121" s="108">
        <v>-691.48</v>
      </c>
      <c r="T121" s="108"/>
      <c r="U121" s="108">
        <v>-2483</v>
      </c>
      <c r="V121" s="108"/>
      <c r="W121" s="108"/>
      <c r="X121" s="108"/>
      <c r="Y121" s="108"/>
    </row>
    <row r="122" spans="1:25" s="4" customFormat="1" x14ac:dyDescent="0.2">
      <c r="A122" s="5"/>
      <c r="B122" s="4" t="s">
        <v>156</v>
      </c>
      <c r="G122" s="108">
        <f>-'QB_Balance Sheet'!B46-1</f>
        <v>-12858.46</v>
      </c>
      <c r="H122" s="108"/>
      <c r="I122" s="108">
        <v>-19901</v>
      </c>
      <c r="J122" s="108"/>
      <c r="K122" s="108">
        <v>-9944</v>
      </c>
      <c r="L122" s="108"/>
      <c r="M122" s="108">
        <v>-26727.53</v>
      </c>
      <c r="N122" s="108"/>
      <c r="O122" s="108">
        <v>-28106.48</v>
      </c>
      <c r="Q122" s="108">
        <v>-20355</v>
      </c>
      <c r="S122" s="108">
        <v>-17309.82</v>
      </c>
      <c r="T122" s="108"/>
      <c r="U122" s="108">
        <v>-17191</v>
      </c>
      <c r="V122" s="108"/>
      <c r="W122" s="108"/>
      <c r="X122" s="108"/>
      <c r="Y122" s="108"/>
    </row>
    <row r="123" spans="1:25" s="4" customFormat="1" x14ac:dyDescent="0.2">
      <c r="A123" s="5"/>
      <c r="B123" s="4" t="s">
        <v>157</v>
      </c>
      <c r="G123" s="108">
        <v>0</v>
      </c>
      <c r="H123" s="108"/>
      <c r="I123" s="108">
        <v>0</v>
      </c>
      <c r="J123" s="108"/>
      <c r="K123" s="108">
        <v>0</v>
      </c>
      <c r="L123" s="108"/>
      <c r="M123" s="108">
        <v>0</v>
      </c>
      <c r="N123" s="108"/>
      <c r="O123" s="108">
        <v>0</v>
      </c>
      <c r="Q123" s="108">
        <v>0</v>
      </c>
      <c r="S123" s="108">
        <v>-379.3</v>
      </c>
      <c r="T123" s="108"/>
      <c r="U123" s="108">
        <v>-610.29</v>
      </c>
      <c r="V123" s="108"/>
      <c r="W123" s="108"/>
      <c r="X123" s="108"/>
      <c r="Y123" s="108"/>
    </row>
    <row r="124" spans="1:25" s="4" customFormat="1" x14ac:dyDescent="0.2">
      <c r="A124" s="5"/>
      <c r="B124" s="4" t="s">
        <v>158</v>
      </c>
      <c r="G124" s="108">
        <f>-'QB_Balance Sheet'!B45</f>
        <v>0</v>
      </c>
      <c r="H124" s="108"/>
      <c r="I124" s="108">
        <v>0</v>
      </c>
      <c r="J124" s="108"/>
      <c r="K124" s="108">
        <v>0</v>
      </c>
      <c r="L124" s="108"/>
      <c r="M124" s="108">
        <v>0</v>
      </c>
      <c r="N124" s="108"/>
      <c r="O124" s="108">
        <v>0</v>
      </c>
      <c r="Q124" s="108">
        <v>-46.98</v>
      </c>
      <c r="S124" s="108">
        <v>0</v>
      </c>
      <c r="T124" s="108"/>
      <c r="U124" s="108">
        <v>-2370</v>
      </c>
      <c r="V124" s="108"/>
      <c r="W124" s="108"/>
      <c r="X124" s="108"/>
      <c r="Y124" s="108"/>
    </row>
    <row r="125" spans="1:25" s="4" customFormat="1" x14ac:dyDescent="0.2">
      <c r="A125" s="5"/>
      <c r="G125" s="108"/>
      <c r="H125" s="108"/>
      <c r="I125" s="108"/>
      <c r="J125" s="108"/>
      <c r="K125" s="108"/>
      <c r="L125" s="108"/>
      <c r="M125" s="108"/>
      <c r="N125" s="108"/>
      <c r="O125" s="108"/>
      <c r="Q125" s="108"/>
      <c r="S125" s="108"/>
      <c r="T125" s="108"/>
      <c r="U125" s="108"/>
      <c r="V125" s="108"/>
      <c r="W125" s="108"/>
      <c r="X125" s="108"/>
      <c r="Y125" s="108"/>
    </row>
    <row r="126" spans="1:25" s="4" customFormat="1" x14ac:dyDescent="0.2">
      <c r="A126" s="5"/>
      <c r="G126" s="115">
        <f>SUM(G121:G124)+1</f>
        <v>-20140.72</v>
      </c>
      <c r="H126" s="108"/>
      <c r="I126" s="115">
        <v>-24082.05</v>
      </c>
      <c r="J126" s="108"/>
      <c r="K126" s="115">
        <v>-12770.880000000001</v>
      </c>
      <c r="L126" s="108"/>
      <c r="M126" s="115">
        <v>-30188.46</v>
      </c>
      <c r="N126" s="108"/>
      <c r="O126" s="115">
        <v>-30600.94</v>
      </c>
      <c r="Q126" s="115">
        <v>-22256</v>
      </c>
      <c r="S126" s="115">
        <v>-18380.599999999999</v>
      </c>
      <c r="T126" s="108"/>
      <c r="U126" s="115">
        <v>-22654.29</v>
      </c>
      <c r="V126" s="108"/>
      <c r="W126" s="108"/>
      <c r="X126" s="108"/>
      <c r="Y126" s="108"/>
    </row>
    <row r="127" spans="1:25" s="4" customFormat="1" x14ac:dyDescent="0.2">
      <c r="A127" s="5"/>
      <c r="G127" s="108"/>
      <c r="H127" s="108"/>
      <c r="I127" s="108"/>
      <c r="J127" s="108"/>
      <c r="K127" s="108"/>
      <c r="L127" s="108"/>
      <c r="M127" s="108"/>
      <c r="N127" s="108"/>
      <c r="O127" s="108"/>
      <c r="Q127" s="108"/>
      <c r="S127" s="108"/>
      <c r="T127" s="108"/>
      <c r="U127" s="108"/>
      <c r="V127" s="108"/>
      <c r="W127" s="108"/>
      <c r="X127" s="108"/>
      <c r="Y127" s="108"/>
    </row>
    <row r="128" spans="1:25" s="4" customFormat="1" ht="13.5" customHeight="1" x14ac:dyDescent="0.2">
      <c r="A128" s="5"/>
      <c r="G128" s="108"/>
      <c r="H128" s="108"/>
      <c r="I128" s="108"/>
      <c r="J128" s="108"/>
      <c r="K128" s="108"/>
      <c r="L128" s="108"/>
      <c r="M128" s="108"/>
      <c r="N128" s="108"/>
      <c r="O128" s="108"/>
      <c r="Q128" s="108"/>
      <c r="S128" s="108"/>
      <c r="T128" s="108"/>
      <c r="U128" s="108"/>
      <c r="V128" s="108"/>
      <c r="W128" s="108"/>
      <c r="X128" s="108"/>
      <c r="Y128" s="108"/>
    </row>
    <row r="129" spans="1:25" s="4" customFormat="1" hidden="1" x14ac:dyDescent="0.2">
      <c r="A129" s="5">
        <f>A118+1</f>
        <v>10</v>
      </c>
      <c r="B129" s="6" t="s">
        <v>159</v>
      </c>
      <c r="G129" s="5">
        <v>2023</v>
      </c>
      <c r="H129" s="5"/>
      <c r="I129" s="5">
        <v>2022</v>
      </c>
      <c r="J129" s="5"/>
      <c r="K129" s="5">
        <v>2021</v>
      </c>
      <c r="L129" s="5"/>
      <c r="M129" s="5">
        <v>2020</v>
      </c>
      <c r="N129" s="5"/>
      <c r="O129" s="5">
        <v>2019</v>
      </c>
      <c r="Q129" s="5">
        <v>2018</v>
      </c>
      <c r="S129" s="5">
        <v>2017</v>
      </c>
      <c r="T129" s="108"/>
      <c r="U129" s="5">
        <v>2016</v>
      </c>
      <c r="V129" s="108"/>
      <c r="W129" s="108"/>
      <c r="X129" s="108"/>
      <c r="Y129" s="108"/>
    </row>
    <row r="130" spans="1:25" s="4" customFormat="1" hidden="1" x14ac:dyDescent="0.2">
      <c r="A130" s="5"/>
      <c r="G130" s="118" t="s">
        <v>145</v>
      </c>
      <c r="H130" s="118"/>
      <c r="I130" s="118" t="s">
        <v>145</v>
      </c>
      <c r="J130" s="118"/>
      <c r="K130" s="118" t="s">
        <v>145</v>
      </c>
      <c r="L130" s="118"/>
      <c r="M130" s="118" t="s">
        <v>145</v>
      </c>
      <c r="N130" s="118"/>
      <c r="O130" s="118" t="s">
        <v>145</v>
      </c>
      <c r="Q130" s="118" t="s">
        <v>145</v>
      </c>
      <c r="S130" s="118" t="s">
        <v>145</v>
      </c>
      <c r="T130" s="108"/>
      <c r="U130" s="118" t="s">
        <v>145</v>
      </c>
      <c r="V130" s="108"/>
      <c r="W130" s="108"/>
      <c r="X130" s="108"/>
      <c r="Y130" s="108"/>
    </row>
    <row r="131" spans="1:25" s="4" customFormat="1" hidden="1" x14ac:dyDescent="0.2">
      <c r="A131" s="5"/>
      <c r="B131" s="4" t="s">
        <v>492</v>
      </c>
      <c r="G131" s="108">
        <v>0</v>
      </c>
      <c r="H131" s="108"/>
      <c r="I131" s="108">
        <v>0</v>
      </c>
      <c r="J131" s="108"/>
      <c r="K131" s="108">
        <v>0</v>
      </c>
      <c r="L131" s="108"/>
      <c r="M131" s="108">
        <v>18000</v>
      </c>
      <c r="N131" s="108"/>
      <c r="O131" s="108">
        <v>18000</v>
      </c>
      <c r="Q131" s="108">
        <v>15000</v>
      </c>
      <c r="S131" s="108">
        <v>12000</v>
      </c>
      <c r="T131" s="108"/>
      <c r="U131" s="108">
        <v>9000</v>
      </c>
      <c r="V131" s="108"/>
      <c r="W131" s="108"/>
      <c r="X131" s="108"/>
      <c r="Y131" s="108"/>
    </row>
    <row r="132" spans="1:25" s="4" customFormat="1" hidden="1" x14ac:dyDescent="0.2">
      <c r="A132" s="5"/>
      <c r="B132" s="4" t="s">
        <v>160</v>
      </c>
      <c r="G132" s="108">
        <v>0</v>
      </c>
      <c r="H132" s="108"/>
      <c r="I132" s="108">
        <v>0</v>
      </c>
      <c r="J132" s="108"/>
      <c r="K132" s="108">
        <v>0</v>
      </c>
      <c r="L132" s="108"/>
      <c r="M132" s="108">
        <v>0</v>
      </c>
      <c r="N132" s="108"/>
      <c r="O132" s="108">
        <v>0</v>
      </c>
      <c r="Q132" s="108">
        <v>3000</v>
      </c>
      <c r="S132" s="108">
        <v>3000</v>
      </c>
      <c r="T132" s="108"/>
      <c r="U132" s="108">
        <v>3000</v>
      </c>
      <c r="V132" s="108"/>
      <c r="W132" s="108"/>
      <c r="X132" s="108"/>
      <c r="Y132" s="108"/>
    </row>
    <row r="133" spans="1:25" s="4" customFormat="1" hidden="1" x14ac:dyDescent="0.2">
      <c r="A133" s="5"/>
      <c r="G133" s="108"/>
      <c r="H133" s="108"/>
      <c r="I133" s="108"/>
      <c r="J133" s="108"/>
      <c r="K133" s="108"/>
      <c r="L133" s="108"/>
      <c r="M133" s="108"/>
      <c r="N133" s="108"/>
      <c r="O133" s="108"/>
      <c r="Q133" s="108"/>
      <c r="S133" s="108" t="s">
        <v>367</v>
      </c>
      <c r="T133" s="108"/>
      <c r="U133" s="108"/>
      <c r="V133" s="108"/>
      <c r="W133" s="108"/>
      <c r="X133" s="108"/>
      <c r="Y133" s="108"/>
    </row>
    <row r="134" spans="1:25" s="4" customFormat="1" hidden="1" x14ac:dyDescent="0.2">
      <c r="A134" s="5"/>
      <c r="B134" s="4" t="s">
        <v>493</v>
      </c>
      <c r="G134" s="115">
        <v>0</v>
      </c>
      <c r="H134" s="108"/>
      <c r="I134" s="115">
        <v>0</v>
      </c>
      <c r="J134" s="108"/>
      <c r="K134" s="115">
        <v>0</v>
      </c>
      <c r="L134" s="108"/>
      <c r="M134" s="115">
        <v>18000</v>
      </c>
      <c r="N134" s="108"/>
      <c r="O134" s="115">
        <v>18000</v>
      </c>
      <c r="Q134" s="115">
        <v>18000</v>
      </c>
      <c r="S134" s="115">
        <v>15000</v>
      </c>
      <c r="T134" s="108"/>
      <c r="U134" s="115">
        <v>12000</v>
      </c>
      <c r="V134" s="108"/>
      <c r="W134" s="108"/>
      <c r="X134" s="108"/>
      <c r="Y134" s="108"/>
    </row>
    <row r="135" spans="1:25" s="4" customFormat="1" x14ac:dyDescent="0.2">
      <c r="A135" s="5"/>
      <c r="G135" s="5"/>
      <c r="H135" s="5"/>
      <c r="I135" s="5"/>
      <c r="J135" s="5"/>
      <c r="K135" s="5"/>
      <c r="L135" s="108"/>
      <c r="M135" s="108"/>
      <c r="N135" s="108"/>
      <c r="O135" s="108"/>
      <c r="P135" s="108"/>
      <c r="Q135" s="108"/>
      <c r="R135" s="108"/>
      <c r="S135" s="108"/>
    </row>
    <row r="136" spans="1:25" s="4" customFormat="1" x14ac:dyDescent="0.2">
      <c r="A136" s="5">
        <v>10</v>
      </c>
      <c r="B136" s="6" t="s">
        <v>411</v>
      </c>
      <c r="G136" s="5">
        <v>2023</v>
      </c>
      <c r="H136" s="5"/>
      <c r="I136" s="5">
        <v>2022</v>
      </c>
      <c r="J136" s="5"/>
      <c r="K136" s="5">
        <v>2021</v>
      </c>
      <c r="L136" s="5"/>
      <c r="M136" s="5">
        <v>2020</v>
      </c>
      <c r="N136" s="5"/>
      <c r="O136" s="5">
        <v>2019</v>
      </c>
    </row>
    <row r="137" spans="1:25" s="4" customFormat="1" x14ac:dyDescent="0.2">
      <c r="A137" s="5"/>
      <c r="G137" s="118" t="s">
        <v>145</v>
      </c>
      <c r="H137" s="118"/>
      <c r="I137" s="118" t="s">
        <v>145</v>
      </c>
      <c r="J137" s="118"/>
      <c r="K137" s="118" t="s">
        <v>145</v>
      </c>
      <c r="L137" s="118"/>
      <c r="M137" s="118" t="s">
        <v>145</v>
      </c>
      <c r="N137" s="118"/>
      <c r="O137" s="118" t="s">
        <v>145</v>
      </c>
    </row>
    <row r="138" spans="1:25" s="4" customFormat="1" x14ac:dyDescent="0.2">
      <c r="A138" s="5"/>
      <c r="B138" s="4" t="s">
        <v>627</v>
      </c>
      <c r="G138" s="108">
        <v>7000</v>
      </c>
      <c r="H138" s="108"/>
      <c r="I138" s="108">
        <v>7000</v>
      </c>
      <c r="J138" s="108"/>
      <c r="K138" s="108">
        <v>7000</v>
      </c>
      <c r="L138" s="108"/>
      <c r="M138" s="108">
        <v>7000</v>
      </c>
      <c r="N138" s="108"/>
      <c r="O138" s="108">
        <v>0</v>
      </c>
      <c r="P138" s="108"/>
      <c r="Q138" s="108"/>
      <c r="R138" s="108"/>
    </row>
    <row r="139" spans="1:25" s="4" customFormat="1" x14ac:dyDescent="0.2">
      <c r="A139" s="5"/>
      <c r="B139" s="4" t="s">
        <v>160</v>
      </c>
      <c r="G139" s="108">
        <v>-6299.54</v>
      </c>
      <c r="H139" s="108"/>
      <c r="I139" s="108">
        <v>0</v>
      </c>
      <c r="J139" s="108"/>
      <c r="K139" s="108">
        <v>0</v>
      </c>
      <c r="L139" s="108"/>
      <c r="M139" s="108">
        <v>0</v>
      </c>
      <c r="N139" s="108"/>
      <c r="O139" s="108">
        <v>7000</v>
      </c>
      <c r="P139" s="108"/>
      <c r="Q139" s="108"/>
      <c r="R139" s="108"/>
    </row>
    <row r="140" spans="1:25" s="4" customFormat="1" x14ac:dyDescent="0.2">
      <c r="A140" s="5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</row>
    <row r="141" spans="1:25" s="4" customFormat="1" x14ac:dyDescent="0.2">
      <c r="A141" s="5"/>
      <c r="B141" s="4" t="s">
        <v>628</v>
      </c>
      <c r="G141" s="115">
        <f>SUM(G138:G140)</f>
        <v>700.46</v>
      </c>
      <c r="H141" s="108"/>
      <c r="I141" s="115">
        <v>7000</v>
      </c>
      <c r="J141" s="108"/>
      <c r="K141" s="115">
        <v>7000</v>
      </c>
      <c r="L141" s="108"/>
      <c r="M141" s="115">
        <v>7000</v>
      </c>
      <c r="N141" s="108"/>
      <c r="O141" s="115">
        <v>7000</v>
      </c>
      <c r="P141" s="108"/>
      <c r="Q141" s="108"/>
      <c r="R141" s="108"/>
    </row>
    <row r="142" spans="1:25" s="4" customFormat="1" x14ac:dyDescent="0.2">
      <c r="A142" s="5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</row>
    <row r="143" spans="1:25" s="4" customFormat="1" x14ac:dyDescent="0.2">
      <c r="A143" s="5"/>
      <c r="B143" s="6" t="s">
        <v>425</v>
      </c>
      <c r="G143" s="5">
        <v>2023</v>
      </c>
      <c r="H143" s="5"/>
      <c r="I143" s="5">
        <v>2022</v>
      </c>
      <c r="J143" s="5"/>
      <c r="K143" s="5">
        <v>2021</v>
      </c>
      <c r="L143" s="108"/>
      <c r="M143" s="108"/>
      <c r="N143" s="108"/>
      <c r="O143" s="108"/>
      <c r="P143" s="108"/>
      <c r="Q143" s="108"/>
      <c r="R143" s="108"/>
      <c r="S143" s="108"/>
    </row>
    <row r="144" spans="1:25" s="4" customFormat="1" x14ac:dyDescent="0.2">
      <c r="A144" s="5"/>
      <c r="G144" s="118" t="s">
        <v>145</v>
      </c>
      <c r="H144" s="118"/>
      <c r="I144" s="118" t="s">
        <v>145</v>
      </c>
      <c r="J144" s="118"/>
      <c r="K144" s="118" t="s">
        <v>145</v>
      </c>
      <c r="L144" s="108"/>
      <c r="M144" s="108"/>
      <c r="N144" s="108"/>
      <c r="O144" s="108"/>
      <c r="P144" s="108"/>
      <c r="Q144" s="108"/>
      <c r="R144" s="108"/>
      <c r="S144" s="108"/>
    </row>
    <row r="145" spans="1:19" s="4" customFormat="1" x14ac:dyDescent="0.2">
      <c r="A145" s="5"/>
      <c r="B145" s="4" t="s">
        <v>627</v>
      </c>
      <c r="G145" s="108">
        <v>4000</v>
      </c>
      <c r="H145" s="108"/>
      <c r="I145" s="108">
        <v>0</v>
      </c>
      <c r="J145" s="108"/>
      <c r="K145" s="108">
        <v>0</v>
      </c>
      <c r="L145" s="108"/>
      <c r="M145" s="108"/>
      <c r="N145" s="108"/>
      <c r="O145" s="108"/>
      <c r="P145" s="108"/>
      <c r="Q145" s="108"/>
      <c r="R145" s="108"/>
      <c r="S145" s="108"/>
    </row>
    <row r="146" spans="1:19" s="4" customFormat="1" x14ac:dyDescent="0.2">
      <c r="A146" s="5"/>
      <c r="B146" s="4" t="s">
        <v>160</v>
      </c>
      <c r="G146" s="108">
        <v>-1536</v>
      </c>
      <c r="H146" s="108"/>
      <c r="I146" s="108">
        <v>4000</v>
      </c>
      <c r="J146" s="108"/>
      <c r="K146" s="108">
        <v>4000</v>
      </c>
      <c r="L146" s="108"/>
      <c r="M146" s="108"/>
      <c r="N146" s="108"/>
      <c r="O146" s="108"/>
      <c r="P146" s="108"/>
      <c r="Q146" s="108"/>
      <c r="R146" s="108"/>
      <c r="S146" s="108"/>
    </row>
    <row r="147" spans="1:19" s="4" customFormat="1" x14ac:dyDescent="0.2">
      <c r="A147" s="5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</row>
    <row r="148" spans="1:19" s="4" customFormat="1" x14ac:dyDescent="0.2">
      <c r="A148" s="5"/>
      <c r="B148" s="4" t="s">
        <v>628</v>
      </c>
      <c r="G148" s="115">
        <f>SUM(G145:G147)</f>
        <v>2464</v>
      </c>
      <c r="H148" s="108"/>
      <c r="I148" s="115">
        <v>4000</v>
      </c>
      <c r="J148" s="108"/>
      <c r="K148" s="115">
        <v>4000</v>
      </c>
      <c r="L148" s="108"/>
      <c r="M148" s="108"/>
      <c r="N148" s="108"/>
      <c r="O148" s="108"/>
      <c r="P148" s="108"/>
      <c r="Q148" s="108"/>
      <c r="R148" s="108"/>
      <c r="S148" s="108"/>
    </row>
    <row r="149" spans="1:19" s="4" customFormat="1" x14ac:dyDescent="0.2">
      <c r="A149" s="5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</row>
    <row r="150" spans="1:19" s="4" customFormat="1" x14ac:dyDescent="0.2">
      <c r="A150" s="5"/>
      <c r="B150" s="6" t="s">
        <v>494</v>
      </c>
      <c r="G150" s="5">
        <v>2023</v>
      </c>
      <c r="H150" s="108"/>
      <c r="I150" s="5">
        <v>2022</v>
      </c>
      <c r="J150" s="108"/>
      <c r="K150" s="108"/>
      <c r="L150" s="108"/>
      <c r="M150" s="108"/>
      <c r="N150" s="108"/>
      <c r="O150" s="108"/>
      <c r="P150" s="108"/>
      <c r="Q150" s="108"/>
    </row>
    <row r="151" spans="1:19" s="4" customFormat="1" x14ac:dyDescent="0.2">
      <c r="A151" s="5"/>
      <c r="G151" s="118" t="s">
        <v>145</v>
      </c>
      <c r="H151" s="108"/>
      <c r="I151" s="118" t="s">
        <v>145</v>
      </c>
      <c r="J151" s="108"/>
      <c r="K151" s="108"/>
      <c r="L151" s="108"/>
      <c r="M151" s="108"/>
      <c r="N151" s="108"/>
      <c r="O151" s="108"/>
      <c r="P151" s="108"/>
      <c r="Q151" s="108"/>
    </row>
    <row r="152" spans="1:19" s="4" customFormat="1" x14ac:dyDescent="0.2">
      <c r="A152" s="5"/>
      <c r="B152" s="4" t="s">
        <v>627</v>
      </c>
      <c r="G152" s="108">
        <v>7478</v>
      </c>
      <c r="H152" s="108"/>
      <c r="I152" s="108">
        <v>0</v>
      </c>
      <c r="J152" s="108"/>
      <c r="K152" s="108"/>
      <c r="L152" s="108"/>
      <c r="M152" s="108"/>
      <c r="N152" s="108"/>
      <c r="O152" s="108"/>
      <c r="P152" s="108"/>
      <c r="Q152" s="108"/>
    </row>
    <row r="153" spans="1:19" s="4" customFormat="1" x14ac:dyDescent="0.2">
      <c r="A153" s="5"/>
      <c r="B153" s="4" t="s">
        <v>160</v>
      </c>
      <c r="G153" s="108">
        <v>-5500</v>
      </c>
      <c r="H153" s="108"/>
      <c r="I153" s="108">
        <v>7478.21</v>
      </c>
      <c r="J153" s="108"/>
      <c r="K153" s="108"/>
      <c r="L153" s="108"/>
      <c r="M153" s="108"/>
      <c r="N153" s="108"/>
      <c r="O153" s="108"/>
      <c r="P153" s="108"/>
      <c r="Q153" s="108"/>
    </row>
    <row r="154" spans="1:19" s="4" customFormat="1" x14ac:dyDescent="0.2">
      <c r="A154" s="5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</row>
    <row r="155" spans="1:19" s="4" customFormat="1" x14ac:dyDescent="0.2">
      <c r="A155" s="5"/>
      <c r="B155" s="4" t="s">
        <v>628</v>
      </c>
      <c r="G155" s="115">
        <f>SUM(G152:G154)</f>
        <v>1978</v>
      </c>
      <c r="H155" s="108"/>
      <c r="I155" s="115">
        <v>7478</v>
      </c>
      <c r="J155" s="108"/>
      <c r="K155" s="108"/>
      <c r="L155" s="108"/>
      <c r="M155" s="108"/>
      <c r="N155" s="108"/>
      <c r="O155" s="108"/>
      <c r="P155" s="108"/>
      <c r="Q155" s="108"/>
    </row>
    <row r="156" spans="1:19" s="4" customFormat="1" x14ac:dyDescent="0.2">
      <c r="A156" s="5"/>
      <c r="G156" s="108"/>
      <c r="H156" s="108"/>
      <c r="I156" s="108"/>
      <c r="J156" s="108"/>
      <c r="K156" s="108"/>
      <c r="L156" s="108"/>
      <c r="M156" s="108"/>
      <c r="N156" s="108"/>
      <c r="O156" s="108"/>
    </row>
    <row r="157" spans="1:19" s="4" customFormat="1" x14ac:dyDescent="0.2">
      <c r="A157" s="5"/>
      <c r="B157" s="6" t="s">
        <v>629</v>
      </c>
      <c r="G157" s="108"/>
      <c r="H157" s="108"/>
      <c r="I157" s="108"/>
      <c r="J157" s="108"/>
      <c r="K157" s="108"/>
      <c r="L157" s="108"/>
      <c r="M157" s="108"/>
      <c r="N157" s="108"/>
      <c r="O157" s="108"/>
    </row>
    <row r="158" spans="1:19" s="4" customFormat="1" x14ac:dyDescent="0.2">
      <c r="A158" s="5"/>
      <c r="G158" s="108"/>
      <c r="H158" s="108"/>
      <c r="I158" s="108"/>
      <c r="J158" s="108"/>
      <c r="K158" s="108"/>
      <c r="L158" s="108"/>
      <c r="M158" s="108"/>
      <c r="N158" s="108"/>
      <c r="O158" s="108"/>
    </row>
    <row r="159" spans="1:19" s="4" customFormat="1" x14ac:dyDescent="0.2">
      <c r="A159" s="5"/>
      <c r="B159" s="4" t="s">
        <v>627</v>
      </c>
      <c r="G159" s="5">
        <v>2023</v>
      </c>
      <c r="H159" s="108"/>
      <c r="I159" s="108"/>
      <c r="J159" s="108"/>
      <c r="K159" s="108"/>
      <c r="L159" s="108"/>
      <c r="M159" s="108"/>
      <c r="N159" s="108"/>
      <c r="O159" s="108"/>
    </row>
    <row r="160" spans="1:19" s="4" customFormat="1" x14ac:dyDescent="0.2">
      <c r="A160" s="5"/>
      <c r="B160" s="4" t="s">
        <v>160</v>
      </c>
      <c r="G160" s="118" t="s">
        <v>145</v>
      </c>
      <c r="H160" s="108"/>
      <c r="I160" s="108"/>
      <c r="J160" s="108"/>
      <c r="K160" s="108"/>
      <c r="L160" s="108"/>
      <c r="M160" s="108"/>
      <c r="N160" s="108"/>
      <c r="O160" s="108"/>
    </row>
    <row r="161" spans="1:17" s="4" customFormat="1" x14ac:dyDescent="0.2">
      <c r="A161" s="5"/>
      <c r="G161" s="108">
        <v>5500</v>
      </c>
      <c r="H161" s="108"/>
      <c r="I161" s="108"/>
      <c r="J161" s="108"/>
      <c r="K161" s="108"/>
      <c r="L161" s="108"/>
      <c r="M161" s="108"/>
      <c r="N161" s="108"/>
      <c r="O161" s="108"/>
    </row>
    <row r="162" spans="1:17" s="4" customFormat="1" x14ac:dyDescent="0.2">
      <c r="A162" s="5"/>
      <c r="B162" s="4" t="s">
        <v>628</v>
      </c>
      <c r="G162" s="108">
        <v>0</v>
      </c>
      <c r="H162" s="108"/>
      <c r="I162" s="108"/>
      <c r="J162" s="108"/>
      <c r="K162" s="108"/>
      <c r="L162" s="108"/>
      <c r="M162" s="108"/>
      <c r="N162" s="108"/>
      <c r="O162" s="108"/>
    </row>
    <row r="163" spans="1:17" s="4" customFormat="1" x14ac:dyDescent="0.2">
      <c r="A163" s="5"/>
      <c r="G163" s="108"/>
      <c r="H163" s="108"/>
      <c r="I163" s="108"/>
      <c r="J163" s="108"/>
      <c r="K163" s="108"/>
      <c r="L163" s="108"/>
      <c r="M163" s="108"/>
      <c r="N163" s="108"/>
      <c r="O163" s="108"/>
    </row>
    <row r="164" spans="1:17" s="4" customFormat="1" x14ac:dyDescent="0.2">
      <c r="A164" s="5"/>
      <c r="G164" s="115">
        <f>SUM(G161:G163)</f>
        <v>5500</v>
      </c>
      <c r="H164" s="108"/>
      <c r="I164" s="108"/>
      <c r="J164" s="108"/>
      <c r="K164" s="108"/>
      <c r="L164" s="108"/>
      <c r="M164" s="108"/>
      <c r="N164" s="108"/>
      <c r="O164" s="108"/>
    </row>
    <row r="165" spans="1:17" s="4" customFormat="1" x14ac:dyDescent="0.2">
      <c r="A165" s="5">
        <v>11</v>
      </c>
      <c r="B165" s="6" t="s">
        <v>161</v>
      </c>
      <c r="G165" s="108"/>
      <c r="H165" s="108"/>
      <c r="I165" s="108"/>
      <c r="J165" s="108"/>
      <c r="K165" s="108"/>
      <c r="L165" s="108"/>
      <c r="M165" s="108"/>
      <c r="N165" s="108"/>
      <c r="O165" s="108"/>
    </row>
    <row r="166" spans="1:17" s="4" customFormat="1" x14ac:dyDescent="0.2">
      <c r="A166" s="5"/>
      <c r="G166" s="108"/>
      <c r="H166" s="108"/>
      <c r="I166" s="108"/>
      <c r="J166" s="108"/>
      <c r="K166" s="108"/>
      <c r="L166" s="108"/>
      <c r="M166" s="108"/>
      <c r="N166" s="108"/>
      <c r="O166" s="108"/>
    </row>
    <row r="167" spans="1:17" s="4" customFormat="1" x14ac:dyDescent="0.2">
      <c r="A167" s="5"/>
      <c r="B167" s="4" t="s">
        <v>162</v>
      </c>
      <c r="G167" s="108"/>
      <c r="H167" s="108"/>
      <c r="I167" s="108"/>
      <c r="J167" s="108"/>
      <c r="K167" s="108"/>
      <c r="L167" s="108"/>
      <c r="M167" s="108"/>
      <c r="N167" s="108"/>
      <c r="O167" s="108"/>
    </row>
    <row r="168" spans="1:17" s="4" customFormat="1" x14ac:dyDescent="0.2">
      <c r="A168" s="5"/>
      <c r="B168" s="4" t="s">
        <v>163</v>
      </c>
      <c r="G168" s="108"/>
      <c r="H168" s="108"/>
      <c r="I168" s="108"/>
      <c r="J168" s="108"/>
      <c r="K168" s="108"/>
      <c r="L168" s="108"/>
      <c r="M168" s="108"/>
      <c r="N168" s="108"/>
      <c r="O168" s="108"/>
    </row>
    <row r="169" spans="1:17" s="4" customFormat="1" x14ac:dyDescent="0.2">
      <c r="A169" s="5"/>
      <c r="G169" s="108"/>
      <c r="H169" s="108"/>
      <c r="I169" s="108"/>
      <c r="J169" s="108"/>
      <c r="K169" s="108"/>
      <c r="L169" s="108"/>
      <c r="M169" s="108"/>
      <c r="N169" s="108"/>
      <c r="O169" s="108"/>
    </row>
    <row r="170" spans="1:17" ht="27" customHeight="1" x14ac:dyDescent="0.2">
      <c r="A170" s="5"/>
      <c r="B170" s="4"/>
      <c r="C170" s="4"/>
      <c r="D170" s="4"/>
      <c r="E170" s="4"/>
      <c r="F170" s="4"/>
      <c r="G170" s="229" t="s">
        <v>164</v>
      </c>
      <c r="H170" s="108"/>
      <c r="I170" s="107" t="s">
        <v>17</v>
      </c>
      <c r="J170" s="107"/>
      <c r="K170" s="107" t="s">
        <v>165</v>
      </c>
      <c r="L170" s="107"/>
      <c r="M170" s="5" t="s">
        <v>166</v>
      </c>
      <c r="N170" s="4"/>
      <c r="O170" s="229" t="s">
        <v>167</v>
      </c>
      <c r="P170" s="4"/>
      <c r="Q170" s="4"/>
    </row>
    <row r="171" spans="1:17" x14ac:dyDescent="0.2">
      <c r="A171" s="5"/>
      <c r="B171" s="4"/>
      <c r="C171" s="4"/>
      <c r="D171" s="4"/>
      <c r="E171" s="4"/>
      <c r="F171" s="4"/>
      <c r="G171" s="118" t="s">
        <v>145</v>
      </c>
      <c r="H171" s="108"/>
      <c r="I171" s="118" t="s">
        <v>145</v>
      </c>
      <c r="J171" s="108"/>
      <c r="K171" s="118" t="s">
        <v>145</v>
      </c>
      <c r="L171" s="118"/>
      <c r="M171" s="118" t="s">
        <v>145</v>
      </c>
      <c r="N171" s="4"/>
      <c r="O171" s="118" t="s">
        <v>145</v>
      </c>
      <c r="P171" s="4"/>
      <c r="Q171" s="4"/>
    </row>
    <row r="172" spans="1:17" x14ac:dyDescent="0.2">
      <c r="A172" s="5"/>
      <c r="B172" s="4" t="s">
        <v>9</v>
      </c>
      <c r="C172" s="4"/>
      <c r="D172" s="4"/>
      <c r="E172" s="4"/>
      <c r="F172" s="4"/>
      <c r="G172" s="108"/>
      <c r="H172" s="108"/>
      <c r="I172" s="108"/>
      <c r="J172" s="108"/>
      <c r="K172" s="108"/>
      <c r="L172" s="108"/>
      <c r="M172" s="4"/>
      <c r="N172" s="4"/>
      <c r="O172" s="4"/>
      <c r="P172" s="4"/>
      <c r="Q172" s="4"/>
    </row>
    <row r="173" spans="1:17" ht="15" x14ac:dyDescent="0.2">
      <c r="A173" s="5"/>
      <c r="B173" s="4" t="s">
        <v>168</v>
      </c>
      <c r="C173" s="4"/>
      <c r="D173" s="4"/>
      <c r="E173" s="274"/>
      <c r="F173" s="4"/>
      <c r="G173" s="108">
        <v>22550.969999999987</v>
      </c>
      <c r="H173" s="108"/>
      <c r="I173" s="108">
        <f>SoFA!D14</f>
        <v>94256.700000000012</v>
      </c>
      <c r="J173" s="108"/>
      <c r="K173" s="108">
        <f>SoFA!D24</f>
        <v>112009.87000000001</v>
      </c>
      <c r="L173" s="108"/>
      <c r="M173" s="108">
        <v>0</v>
      </c>
      <c r="N173" s="4"/>
      <c r="O173" s="242">
        <f>G173+I173-K173</f>
        <v>4797.7999999999884</v>
      </c>
      <c r="P173" s="4"/>
      <c r="Q173" s="4"/>
    </row>
    <row r="174" spans="1:17" ht="15" x14ac:dyDescent="0.2">
      <c r="A174" s="5"/>
      <c r="B174" s="4" t="s">
        <v>169</v>
      </c>
      <c r="C174" s="4"/>
      <c r="D174" s="4"/>
      <c r="E174" s="274"/>
      <c r="F174" s="4"/>
      <c r="G174" s="108">
        <v>10000</v>
      </c>
      <c r="H174" s="108"/>
      <c r="I174" s="108">
        <v>0</v>
      </c>
      <c r="J174" s="108"/>
      <c r="K174" s="108">
        <v>0</v>
      </c>
      <c r="L174" s="108"/>
      <c r="M174" s="108">
        <v>0</v>
      </c>
      <c r="N174" s="4"/>
      <c r="O174" s="108">
        <f>G174+I174-K174+M174</f>
        <v>10000</v>
      </c>
      <c r="P174" s="4"/>
      <c r="Q174" s="4"/>
    </row>
    <row r="175" spans="1:17" ht="15" x14ac:dyDescent="0.2">
      <c r="A175" s="5"/>
      <c r="B175" s="4" t="s">
        <v>170</v>
      </c>
      <c r="C175" s="4"/>
      <c r="D175" s="4"/>
      <c r="E175" s="274"/>
      <c r="F175" s="4"/>
      <c r="G175" s="108">
        <v>10000</v>
      </c>
      <c r="H175" s="108"/>
      <c r="I175" s="108">
        <v>0</v>
      </c>
      <c r="J175" s="108"/>
      <c r="K175" s="108">
        <v>0</v>
      </c>
      <c r="L175" s="108"/>
      <c r="M175" s="108">
        <v>0</v>
      </c>
      <c r="N175" s="4"/>
      <c r="O175" s="108">
        <f>G175+I175-K175+M175</f>
        <v>10000</v>
      </c>
      <c r="P175" s="4"/>
      <c r="Q175" s="4"/>
    </row>
    <row r="176" spans="1:17" ht="15" x14ac:dyDescent="0.2">
      <c r="A176" s="5"/>
      <c r="B176" s="4"/>
      <c r="C176" s="4"/>
      <c r="D176" s="4"/>
      <c r="E176" s="275"/>
      <c r="F176" s="4"/>
      <c r="G176" s="108"/>
      <c r="H176" s="108"/>
      <c r="I176" s="108"/>
      <c r="J176" s="108"/>
      <c r="K176" s="108"/>
      <c r="L176" s="108"/>
      <c r="M176" s="4"/>
      <c r="N176" s="4"/>
      <c r="O176" s="108"/>
      <c r="P176" s="4"/>
      <c r="Q176" s="4"/>
    </row>
    <row r="177" spans="1:17" ht="15" x14ac:dyDescent="0.2">
      <c r="A177" s="5"/>
      <c r="B177" s="4" t="s">
        <v>171</v>
      </c>
      <c r="C177" s="4"/>
      <c r="D177" s="4"/>
      <c r="E177" s="274"/>
      <c r="F177" s="4"/>
      <c r="G177" s="115">
        <v>42550.970000000016</v>
      </c>
      <c r="H177" s="108"/>
      <c r="I177" s="115">
        <f>SUM(I173:I175)</f>
        <v>94256.700000000012</v>
      </c>
      <c r="J177" s="108"/>
      <c r="K177" s="115">
        <f>SUM(K173:K175)</f>
        <v>112009.87000000001</v>
      </c>
      <c r="L177" s="108"/>
      <c r="M177" s="115">
        <f>SUM(M173:M175)</f>
        <v>0</v>
      </c>
      <c r="N177" s="4"/>
      <c r="O177" s="115">
        <f>G177+I177-K177+M177</f>
        <v>24797.800000000032</v>
      </c>
      <c r="P177" s="4"/>
      <c r="Q177" s="108"/>
    </row>
    <row r="178" spans="1:17" ht="15" x14ac:dyDescent="0.2">
      <c r="A178" s="5"/>
      <c r="B178" s="4"/>
      <c r="C178" s="4"/>
      <c r="D178" s="4"/>
      <c r="E178" s="275"/>
      <c r="F178" s="4"/>
      <c r="G178" s="108"/>
      <c r="H178" s="108"/>
      <c r="I178" s="108"/>
      <c r="J178" s="108"/>
      <c r="K178" s="108"/>
      <c r="L178" s="108"/>
      <c r="M178" s="4"/>
      <c r="N178" s="4"/>
      <c r="O178" s="4"/>
      <c r="P178" s="4"/>
      <c r="Q178" s="4"/>
    </row>
    <row r="179" spans="1:17" ht="15" x14ac:dyDescent="0.2">
      <c r="A179" s="5"/>
      <c r="B179" s="4" t="s">
        <v>2</v>
      </c>
      <c r="C179" s="4"/>
      <c r="D179" s="4"/>
      <c r="E179" s="275"/>
      <c r="F179" s="4"/>
      <c r="G179" s="108"/>
      <c r="H179" s="108"/>
      <c r="I179" s="108"/>
      <c r="J179" s="108"/>
      <c r="K179" s="108"/>
      <c r="L179" s="108"/>
      <c r="M179" s="4"/>
      <c r="N179" s="4"/>
      <c r="O179" s="4"/>
      <c r="P179" s="4"/>
      <c r="Q179" s="4"/>
    </row>
    <row r="180" spans="1:17" ht="15" x14ac:dyDescent="0.2">
      <c r="A180" s="5"/>
      <c r="B180" s="4" t="s">
        <v>172</v>
      </c>
      <c r="C180" s="4"/>
      <c r="D180" s="4"/>
      <c r="E180" s="275"/>
      <c r="F180" s="4"/>
      <c r="G180" s="108">
        <v>6.9099999999999966</v>
      </c>
      <c r="H180" s="108"/>
      <c r="I180" s="108">
        <v>0</v>
      </c>
      <c r="J180" s="108"/>
      <c r="K180" s="108">
        <v>0</v>
      </c>
      <c r="L180" s="108"/>
      <c r="M180" s="108">
        <v>0</v>
      </c>
      <c r="N180" s="108"/>
      <c r="O180" s="108">
        <f>G180+I180-K180+M180</f>
        <v>6.9099999999999966</v>
      </c>
      <c r="P180" s="4"/>
      <c r="Q180" s="4"/>
    </row>
    <row r="181" spans="1:17" ht="15" x14ac:dyDescent="0.2">
      <c r="A181" s="5"/>
      <c r="B181" s="4" t="s">
        <v>419</v>
      </c>
      <c r="C181" s="4"/>
      <c r="D181" s="4"/>
      <c r="E181" s="274"/>
      <c r="F181" s="4"/>
      <c r="G181" s="108">
        <v>5715.88</v>
      </c>
      <c r="H181" s="108"/>
      <c r="I181" s="108">
        <f>'QB_Funds Analysis raw'!L28</f>
        <v>2836.89</v>
      </c>
      <c r="J181" s="108"/>
      <c r="K181" s="108">
        <f>'QB_Funds Analysis raw'!L104</f>
        <v>8494.2999999999993</v>
      </c>
      <c r="L181" s="108"/>
      <c r="M181" s="108">
        <v>0</v>
      </c>
      <c r="N181" s="108"/>
      <c r="O181" s="108">
        <f>G181+I181-K181+M181+1</f>
        <v>59.470000000001164</v>
      </c>
      <c r="P181" s="4"/>
      <c r="Q181" s="108"/>
    </row>
    <row r="182" spans="1:17" ht="15" x14ac:dyDescent="0.2">
      <c r="A182" s="5"/>
      <c r="B182" s="4" t="s">
        <v>490</v>
      </c>
      <c r="C182" s="4"/>
      <c r="D182" s="4"/>
      <c r="E182" s="274"/>
      <c r="F182" s="4"/>
      <c r="G182" s="108">
        <v>522.66000000000008</v>
      </c>
      <c r="H182" s="108"/>
      <c r="I182" s="108">
        <f>'QB_Funds Analysis raw'!K28</f>
        <v>281.89999999999998</v>
      </c>
      <c r="J182" s="108"/>
      <c r="K182" s="108">
        <f>'QB_Funds Analysis raw'!K104</f>
        <v>1080.1500000000001</v>
      </c>
      <c r="L182" s="108"/>
      <c r="M182" s="108">
        <v>0</v>
      </c>
      <c r="N182" s="108"/>
      <c r="O182" s="108">
        <f>G182+I182-K182+M182+1</f>
        <v>-274.59000000000003</v>
      </c>
      <c r="P182" s="4"/>
      <c r="Q182" s="108"/>
    </row>
    <row r="183" spans="1:17" ht="15" x14ac:dyDescent="0.2">
      <c r="A183" s="5"/>
      <c r="B183" s="4" t="s">
        <v>173</v>
      </c>
      <c r="C183" s="4"/>
      <c r="D183" s="4"/>
      <c r="E183" s="274"/>
      <c r="F183" s="4"/>
      <c r="G183" s="108">
        <v>5193.2799999999988</v>
      </c>
      <c r="H183" s="108"/>
      <c r="I183" s="108">
        <f>'QB_Funds Analysis raw'!J28</f>
        <v>8375.84</v>
      </c>
      <c r="J183" s="108"/>
      <c r="K183" s="108">
        <f>'QB_Funds Analysis raw'!J104+'QB_Funds Analysis raw'!J116</f>
        <v>9112.0800000000017</v>
      </c>
      <c r="L183" s="108"/>
      <c r="M183" s="108">
        <v>0</v>
      </c>
      <c r="N183" s="108"/>
      <c r="O183" s="108">
        <f>G183+I183-K183+M183</f>
        <v>4457.0399999999972</v>
      </c>
      <c r="P183" s="4"/>
      <c r="Q183" s="108"/>
    </row>
    <row r="184" spans="1:17" ht="15" x14ac:dyDescent="0.2">
      <c r="A184" s="5"/>
      <c r="B184" s="4" t="s">
        <v>174</v>
      </c>
      <c r="C184" s="4"/>
      <c r="D184" s="4"/>
      <c r="E184" s="276"/>
      <c r="F184" s="4"/>
      <c r="G184" s="108">
        <v>5830.53</v>
      </c>
      <c r="H184" s="108"/>
      <c r="I184" s="108">
        <f>'QB_Funds Analysis'!E30</f>
        <v>0</v>
      </c>
      <c r="J184" s="108"/>
      <c r="K184" s="108">
        <f>'QB_Funds Analysis raw'!D114</f>
        <v>825.71</v>
      </c>
      <c r="L184" s="108"/>
      <c r="M184" s="108">
        <v>0</v>
      </c>
      <c r="N184" s="108"/>
      <c r="O184" s="108">
        <f>G184+I184-K184+M184</f>
        <v>5004.82</v>
      </c>
      <c r="P184" s="4"/>
      <c r="Q184" s="108"/>
    </row>
    <row r="185" spans="1:17" ht="15" x14ac:dyDescent="0.2">
      <c r="A185" s="5"/>
      <c r="B185" s="4" t="s">
        <v>10</v>
      </c>
      <c r="C185" s="4"/>
      <c r="D185" s="4"/>
      <c r="E185" s="275"/>
      <c r="F185" s="4"/>
      <c r="G185" s="108">
        <v>2954.29</v>
      </c>
      <c r="H185" s="108"/>
      <c r="I185" s="108">
        <f>'QB_Funds Analysis raw'!H28</f>
        <v>2112.8000000000002</v>
      </c>
      <c r="J185" s="108"/>
      <c r="K185" s="108">
        <f>'QB_Funds Analysis raw'!H104</f>
        <v>2219.61</v>
      </c>
      <c r="L185" s="108"/>
      <c r="M185" s="108">
        <v>0</v>
      </c>
      <c r="N185" s="108"/>
      <c r="O185" s="108">
        <f t="shared" ref="O185:O190" si="8">G185+I185-K185+M185</f>
        <v>2847.48</v>
      </c>
      <c r="P185" s="4"/>
      <c r="Q185" s="108"/>
    </row>
    <row r="186" spans="1:17" ht="15" x14ac:dyDescent="0.2">
      <c r="A186" s="5"/>
      <c r="B186" s="4" t="s">
        <v>458</v>
      </c>
      <c r="C186" s="4"/>
      <c r="D186" s="4"/>
      <c r="E186" s="274"/>
      <c r="F186" s="4"/>
      <c r="G186" s="108">
        <v>12500</v>
      </c>
      <c r="H186" s="108"/>
      <c r="I186" s="108">
        <f>'QB_Funds Analysis'!G30</f>
        <v>0</v>
      </c>
      <c r="J186" s="108"/>
      <c r="K186" s="108">
        <f>'QB_Funds Analysis'!G107</f>
        <v>0</v>
      </c>
      <c r="L186" s="108"/>
      <c r="M186" s="108">
        <v>0</v>
      </c>
      <c r="N186" s="108"/>
      <c r="O186" s="108">
        <f t="shared" si="8"/>
        <v>12500</v>
      </c>
      <c r="P186" s="4"/>
      <c r="Q186" s="108"/>
    </row>
    <row r="187" spans="1:17" ht="15" x14ac:dyDescent="0.2">
      <c r="A187" s="5"/>
      <c r="B187" s="4" t="s">
        <v>497</v>
      </c>
      <c r="C187" s="4"/>
      <c r="D187" s="4"/>
      <c r="E187" s="275"/>
      <c r="F187" s="4"/>
      <c r="G187" s="108">
        <v>520</v>
      </c>
      <c r="H187" s="108"/>
      <c r="I187" s="108">
        <f>'QB_Funds Analysis raw'!D28+'QB_Funds Analysis raw'!F28++'QB_Funds Analysis raw'!I28</f>
        <v>2041.13</v>
      </c>
      <c r="J187" s="108"/>
      <c r="K187" s="108">
        <f>'QB_Funds Analysis raw'!D104+'QB_Funds Analysis raw'!D110+'QB_Funds Analysis raw'!F104+'QB_Funds Analysis raw'!I104</f>
        <v>-222.44999999999993</v>
      </c>
      <c r="L187" s="108"/>
      <c r="M187" s="108">
        <v>0</v>
      </c>
      <c r="N187" s="108"/>
      <c r="O187" s="108">
        <f>G187+I187-K187+M187-1</f>
        <v>2782.58</v>
      </c>
      <c r="P187" s="4"/>
      <c r="Q187" s="108"/>
    </row>
    <row r="188" spans="1:17" ht="15" x14ac:dyDescent="0.2">
      <c r="A188" s="5"/>
      <c r="B188" s="4" t="s">
        <v>491</v>
      </c>
      <c r="C188" s="4"/>
      <c r="D188" s="4"/>
      <c r="E188" s="274"/>
      <c r="F188" s="4"/>
      <c r="G188" s="108">
        <v>-1584.2999999999997</v>
      </c>
      <c r="H188" s="108"/>
      <c r="I188" s="108">
        <f>'QB_Funds Analysis raw'!E28</f>
        <v>3566.81</v>
      </c>
      <c r="J188" s="108"/>
      <c r="K188" s="108">
        <f>'QB_Funds Analysis raw'!E104</f>
        <v>1693.7200000000003</v>
      </c>
      <c r="L188" s="108"/>
      <c r="M188" s="108">
        <v>0</v>
      </c>
      <c r="N188" s="108"/>
      <c r="O188" s="108">
        <f t="shared" si="8"/>
        <v>288.78999999999996</v>
      </c>
      <c r="P188" s="4"/>
      <c r="Q188" s="108"/>
    </row>
    <row r="189" spans="1:17" ht="12.75" hidden="1" customHeight="1" x14ac:dyDescent="0.2">
      <c r="A189" s="5"/>
      <c r="B189" s="4" t="s">
        <v>416</v>
      </c>
      <c r="C189" s="4"/>
      <c r="D189" s="4"/>
      <c r="E189" s="275"/>
      <c r="F189" s="4"/>
      <c r="G189" s="108">
        <v>4.5474735088646412E-13</v>
      </c>
      <c r="H189" s="108"/>
      <c r="I189" s="108">
        <f>'QB_Funds Analysis'!D30</f>
        <v>0</v>
      </c>
      <c r="J189" s="108"/>
      <c r="K189" s="108">
        <f>'QB_Funds Analysis'!D107</f>
        <v>0</v>
      </c>
      <c r="L189" s="108"/>
      <c r="M189" s="108">
        <v>0</v>
      </c>
      <c r="N189" s="108"/>
      <c r="O189" s="108">
        <f t="shared" si="8"/>
        <v>4.5474735088646412E-13</v>
      </c>
      <c r="P189" s="4"/>
      <c r="Q189" s="108">
        <f t="shared" ref="Q189" si="9">I189-K189</f>
        <v>0</v>
      </c>
    </row>
    <row r="190" spans="1:17" ht="15" x14ac:dyDescent="0.2">
      <c r="A190" s="5"/>
      <c r="B190" s="4" t="s">
        <v>456</v>
      </c>
      <c r="C190" s="4"/>
      <c r="D190" s="4"/>
      <c r="E190" s="275"/>
      <c r="F190" s="4"/>
      <c r="G190" s="108">
        <v>323.30999999999995</v>
      </c>
      <c r="H190" s="108"/>
      <c r="I190" s="108">
        <f>'QB_Funds Analysis raw'!C28</f>
        <v>1094.79</v>
      </c>
      <c r="J190" s="108"/>
      <c r="K190" s="108">
        <f>'QB_Funds Analysis raw'!C104</f>
        <v>1131.68</v>
      </c>
      <c r="L190" s="108"/>
      <c r="M190" s="108">
        <v>0</v>
      </c>
      <c r="N190" s="108"/>
      <c r="O190" s="108">
        <f t="shared" si="8"/>
        <v>286.41999999999985</v>
      </c>
      <c r="P190" s="4"/>
      <c r="Q190" s="108"/>
    </row>
    <row r="191" spans="1:17" ht="15" x14ac:dyDescent="0.2">
      <c r="A191" s="5"/>
      <c r="B191" s="4"/>
      <c r="C191" s="4"/>
      <c r="D191" s="4"/>
      <c r="E191" s="275"/>
      <c r="F191" s="4"/>
      <c r="G191" s="108"/>
      <c r="H191" s="108"/>
      <c r="I191" s="108"/>
      <c r="J191" s="108"/>
      <c r="K191" s="108"/>
      <c r="L191" s="108"/>
      <c r="M191" s="108"/>
      <c r="N191" s="108"/>
      <c r="O191" s="108"/>
      <c r="P191" s="4"/>
      <c r="Q191" s="108"/>
    </row>
    <row r="192" spans="1:17" ht="15" x14ac:dyDescent="0.2">
      <c r="A192" s="5"/>
      <c r="B192" s="4"/>
      <c r="C192" s="4"/>
      <c r="D192" s="4"/>
      <c r="E192" s="275"/>
      <c r="F192" s="4"/>
      <c r="G192" s="108"/>
      <c r="H192" s="108"/>
      <c r="I192" s="108"/>
      <c r="J192" s="108"/>
      <c r="K192" s="108"/>
      <c r="L192" s="108"/>
      <c r="M192" s="4"/>
      <c r="N192" s="4"/>
      <c r="O192" s="108"/>
      <c r="P192" s="4"/>
      <c r="Q192" s="108"/>
    </row>
    <row r="193" spans="1:19" ht="15" x14ac:dyDescent="0.2">
      <c r="A193" s="5"/>
      <c r="B193" s="4" t="s">
        <v>175</v>
      </c>
      <c r="C193" s="4"/>
      <c r="D193" s="4"/>
      <c r="E193" s="274"/>
      <c r="F193" s="4"/>
      <c r="G193" s="115">
        <v>31982.560000000001</v>
      </c>
      <c r="H193" s="108"/>
      <c r="I193" s="115">
        <f>SUM(I180:I190)+1</f>
        <v>20311.160000000003</v>
      </c>
      <c r="J193" s="108"/>
      <c r="K193" s="115">
        <f>SUM(K180:K190)+1</f>
        <v>24335.8</v>
      </c>
      <c r="L193" s="108"/>
      <c r="M193" s="115">
        <f>SUM(M180:M192)</f>
        <v>0</v>
      </c>
      <c r="N193" s="4"/>
      <c r="O193" s="115">
        <f>G193+I193-K193+M193</f>
        <v>27957.920000000002</v>
      </c>
      <c r="P193" s="4"/>
      <c r="Q193" s="108"/>
    </row>
    <row r="194" spans="1:19" ht="15" x14ac:dyDescent="0.2">
      <c r="B194" s="4"/>
      <c r="C194" s="4"/>
      <c r="D194" s="4"/>
      <c r="E194" s="273"/>
      <c r="G194" s="72"/>
      <c r="H194" s="72"/>
      <c r="I194" s="72"/>
      <c r="J194" s="72"/>
      <c r="K194" s="72"/>
      <c r="L194" s="72"/>
      <c r="M194" s="72"/>
      <c r="N194" s="72"/>
      <c r="O194" s="72"/>
    </row>
    <row r="195" spans="1:19" s="4" customFormat="1" x14ac:dyDescent="0.2">
      <c r="A195" s="5">
        <f>A165+1</f>
        <v>12</v>
      </c>
      <c r="B195" s="6" t="s">
        <v>176</v>
      </c>
      <c r="G195" s="108"/>
      <c r="H195" s="108"/>
      <c r="I195" s="108"/>
      <c r="J195" s="108"/>
      <c r="K195" s="108"/>
      <c r="L195" s="108"/>
      <c r="M195" s="108"/>
      <c r="N195" s="108"/>
      <c r="O195" s="108"/>
      <c r="S195" s="108"/>
    </row>
    <row r="196" spans="1:19" s="4" customFormat="1" x14ac:dyDescent="0.2">
      <c r="A196" s="5"/>
      <c r="G196" s="107" t="s">
        <v>3</v>
      </c>
      <c r="H196" s="107"/>
      <c r="I196" s="107" t="s">
        <v>2</v>
      </c>
      <c r="J196" s="108"/>
      <c r="K196" s="214" t="s">
        <v>108</v>
      </c>
      <c r="L196" s="214"/>
      <c r="M196" s="214"/>
      <c r="N196" s="214"/>
      <c r="O196" s="214"/>
    </row>
    <row r="197" spans="1:19" s="4" customFormat="1" x14ac:dyDescent="0.2">
      <c r="A197" s="5"/>
      <c r="G197" s="107" t="s">
        <v>109</v>
      </c>
      <c r="H197" s="107"/>
      <c r="I197" s="107" t="s">
        <v>109</v>
      </c>
      <c r="J197" s="108"/>
      <c r="K197" s="107"/>
      <c r="L197" s="107"/>
      <c r="M197" s="107"/>
      <c r="N197" s="107"/>
      <c r="O197" s="107"/>
      <c r="Q197" s="108"/>
    </row>
    <row r="198" spans="1:19" s="4" customFormat="1" x14ac:dyDescent="0.2">
      <c r="A198" s="5"/>
      <c r="G198" s="118" t="s">
        <v>145</v>
      </c>
      <c r="H198" s="118"/>
      <c r="I198" s="118" t="s">
        <v>145</v>
      </c>
      <c r="J198" s="118"/>
      <c r="K198" s="118" t="s">
        <v>145</v>
      </c>
      <c r="L198" s="118"/>
      <c r="M198" s="118"/>
      <c r="N198" s="118"/>
      <c r="O198" s="118"/>
    </row>
    <row r="199" spans="1:19" s="4" customFormat="1" x14ac:dyDescent="0.2">
      <c r="A199" s="5"/>
      <c r="B199" s="4" t="s">
        <v>142</v>
      </c>
      <c r="G199" s="108">
        <f>Q105</f>
        <v>5146.1163636363635</v>
      </c>
      <c r="H199" s="108"/>
      <c r="I199" s="108">
        <v>0</v>
      </c>
      <c r="J199" s="108"/>
      <c r="K199" s="108">
        <f>I199+G199</f>
        <v>5146.1163636363635</v>
      </c>
      <c r="L199" s="108"/>
      <c r="M199" s="108"/>
      <c r="N199" s="108"/>
      <c r="O199" s="108"/>
    </row>
    <row r="200" spans="1:19" s="4" customFormat="1" x14ac:dyDescent="0.2">
      <c r="A200" s="5"/>
      <c r="B200" s="4" t="s">
        <v>177</v>
      </c>
      <c r="G200" s="108">
        <f>'QB_Balance Sheet'!B39-Notes!O193</f>
        <v>39792.62000000001</v>
      </c>
      <c r="H200" s="108"/>
      <c r="I200" s="108">
        <f>O193</f>
        <v>27957.920000000002</v>
      </c>
      <c r="J200" s="108"/>
      <c r="K200" s="108">
        <f t="shared" ref="K200:K201" si="10">I200+G200</f>
        <v>67750.540000000008</v>
      </c>
      <c r="L200" s="108"/>
      <c r="M200" s="108"/>
      <c r="N200" s="108"/>
      <c r="O200" s="108"/>
    </row>
    <row r="201" spans="1:19" s="4" customFormat="1" ht="13.5" customHeight="1" x14ac:dyDescent="0.2">
      <c r="A201" s="5"/>
      <c r="B201" s="278" t="s">
        <v>178</v>
      </c>
      <c r="C201" s="278"/>
      <c r="D201" s="278"/>
      <c r="E201" s="278"/>
      <c r="F201" s="278"/>
      <c r="G201" s="108">
        <f>-'QB_Balance Sheet'!B49</f>
        <v>-20140.72</v>
      </c>
      <c r="H201" s="108"/>
      <c r="I201" s="108">
        <v>0</v>
      </c>
      <c r="J201" s="108"/>
      <c r="K201" s="108">
        <f t="shared" si="10"/>
        <v>-20140.72</v>
      </c>
      <c r="L201" s="108"/>
      <c r="M201" s="108"/>
      <c r="N201" s="108"/>
      <c r="O201" s="108"/>
    </row>
    <row r="202" spans="1:19" s="4" customFormat="1" x14ac:dyDescent="0.2">
      <c r="A202" s="5"/>
      <c r="G202" s="108"/>
      <c r="H202" s="108"/>
      <c r="I202" s="108"/>
      <c r="J202" s="108"/>
      <c r="K202" s="108"/>
      <c r="L202" s="108"/>
      <c r="M202" s="108"/>
      <c r="N202" s="108"/>
      <c r="O202" s="108"/>
    </row>
    <row r="203" spans="1:19" s="4" customFormat="1" x14ac:dyDescent="0.2">
      <c r="A203" s="5"/>
      <c r="G203" s="243">
        <f>SUM(G199:G202)</f>
        <v>24798.016363636372</v>
      </c>
      <c r="H203" s="242"/>
      <c r="I203" s="243">
        <f>SUM(I199:I202)</f>
        <v>27957.920000000002</v>
      </c>
      <c r="J203" s="108"/>
      <c r="K203" s="115">
        <f>SUM(K199:K202)</f>
        <v>52755.936363636371</v>
      </c>
      <c r="L203" s="108"/>
      <c r="M203" s="108"/>
      <c r="N203" s="108"/>
      <c r="O203" s="108"/>
    </row>
    <row r="204" spans="1:19" s="4" customFormat="1" x14ac:dyDescent="0.2">
      <c r="A204" s="5"/>
      <c r="G204" s="112"/>
      <c r="H204" s="112"/>
      <c r="I204" s="112"/>
      <c r="J204" s="112"/>
      <c r="K204" s="112"/>
      <c r="L204" s="112"/>
      <c r="M204" s="112"/>
      <c r="N204" s="112"/>
      <c r="O204" s="112"/>
    </row>
    <row r="205" spans="1:19" s="4" customFormat="1" x14ac:dyDescent="0.2">
      <c r="A205" s="5"/>
    </row>
    <row r="206" spans="1:19" s="4" customFormat="1" x14ac:dyDescent="0.2">
      <c r="A206" s="5"/>
    </row>
    <row r="207" spans="1:19" s="4" customFormat="1" x14ac:dyDescent="0.2">
      <c r="A207" s="5"/>
    </row>
    <row r="208" spans="1:19" s="4" customFormat="1" x14ac:dyDescent="0.2">
      <c r="A208" s="5"/>
    </row>
    <row r="209" spans="1:1" s="4" customFormat="1" x14ac:dyDescent="0.2">
      <c r="A209" s="5"/>
    </row>
    <row r="210" spans="1:1" s="4" customFormat="1" x14ac:dyDescent="0.2">
      <c r="A210" s="5"/>
    </row>
  </sheetData>
  <mergeCells count="1">
    <mergeCell ref="B201:F201"/>
  </mergeCells>
  <pageMargins left="0.23622047244094491" right="0.23622047244094491" top="0.74803149606299213" bottom="0.74803149606299213" header="0.31496062992125984" footer="0.31496062992125984"/>
  <pageSetup paperSize="9" scale="55" fitToHeight="0" orientation="portrait" cellComments="asDisplayed" horizontalDpi="4294967293" r:id="rId1"/>
  <rowBreaks count="2" manualBreakCount="2">
    <brk id="70" max="16383" man="1"/>
    <brk id="127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AE124"/>
  <sheetViews>
    <sheetView zoomScaleNormal="100" workbookViewId="0">
      <pane xSplit="1" ySplit="5" topLeftCell="B39" activePane="bottomRight" state="frozen"/>
      <selection activeCell="J33" sqref="J33"/>
      <selection pane="topRight" activeCell="J33" sqref="J33"/>
      <selection pane="bottomLeft" activeCell="J33" sqref="J33"/>
      <selection pane="bottomRight" activeCell="A52" sqref="A52"/>
    </sheetView>
  </sheetViews>
  <sheetFormatPr defaultColWidth="9.140625" defaultRowHeight="20.25" customHeight="1" x14ac:dyDescent="0.25"/>
  <cols>
    <col min="1" max="1" width="47.28515625" customWidth="1"/>
    <col min="2" max="3" width="10" style="147" customWidth="1"/>
    <col min="4" max="4" width="10" style="249" customWidth="1"/>
    <col min="5" max="10" width="10" style="162" customWidth="1"/>
    <col min="11" max="11" width="10" style="249" customWidth="1"/>
    <col min="12" max="13" width="10" style="162" customWidth="1"/>
    <col min="14" max="15" width="10" style="249" customWidth="1"/>
    <col min="16" max="16" width="10" style="162" customWidth="1"/>
    <col min="17" max="17" width="10" style="245" customWidth="1"/>
    <col min="18" max="25" width="10" style="162" customWidth="1"/>
    <col min="26" max="26" width="10" style="147" customWidth="1"/>
    <col min="27" max="27" width="14.140625" customWidth="1"/>
    <col min="28" max="28" width="14.42578125" customWidth="1"/>
    <col min="29" max="29" width="10.42578125" bestFit="1" customWidth="1"/>
    <col min="30" max="30" width="12.5703125" bestFit="1" customWidth="1"/>
  </cols>
  <sheetData>
    <row r="1" spans="1:31" ht="20.25" customHeight="1" x14ac:dyDescent="0.25">
      <c r="A1" s="279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</row>
    <row r="2" spans="1:31" ht="20.25" customHeight="1" x14ac:dyDescent="0.25">
      <c r="A2" s="279" t="s">
        <v>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</row>
    <row r="3" spans="1:31" ht="20.25" customHeight="1" x14ac:dyDescent="0.25">
      <c r="A3" s="281" t="s">
        <v>474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</row>
    <row r="4" spans="1:31" ht="20.25" customHeight="1" x14ac:dyDescent="0.25">
      <c r="B4" s="147" t="s">
        <v>2</v>
      </c>
      <c r="L4" s="162" t="s">
        <v>3</v>
      </c>
    </row>
    <row r="5" spans="1:31" ht="61.5" customHeight="1" x14ac:dyDescent="0.25">
      <c r="A5" s="133"/>
      <c r="B5" s="160" t="s">
        <v>4</v>
      </c>
      <c r="C5" s="160" t="s">
        <v>456</v>
      </c>
      <c r="D5" s="250" t="s">
        <v>416</v>
      </c>
      <c r="E5" s="160" t="s">
        <v>488</v>
      </c>
      <c r="F5" s="160" t="s">
        <v>457</v>
      </c>
      <c r="G5" s="160" t="s">
        <v>458</v>
      </c>
      <c r="H5" s="160" t="s">
        <v>459</v>
      </c>
      <c r="I5" s="160" t="s">
        <v>460</v>
      </c>
      <c r="J5" s="160" t="s">
        <v>461</v>
      </c>
      <c r="K5" s="250" t="s">
        <v>10</v>
      </c>
      <c r="L5" s="160" t="s">
        <v>6</v>
      </c>
      <c r="M5" s="160" t="s">
        <v>7</v>
      </c>
      <c r="N5" s="250" t="s">
        <v>462</v>
      </c>
      <c r="O5" s="250" t="s">
        <v>419</v>
      </c>
      <c r="P5" s="160" t="s">
        <v>486</v>
      </c>
      <c r="Q5" s="246" t="s">
        <v>8</v>
      </c>
      <c r="R5" s="160" t="s">
        <v>9</v>
      </c>
      <c r="S5" s="160" t="s">
        <v>417</v>
      </c>
      <c r="T5" s="160" t="s">
        <v>487</v>
      </c>
      <c r="U5" s="160" t="s">
        <v>11</v>
      </c>
      <c r="V5" s="160" t="s">
        <v>12</v>
      </c>
      <c r="W5" s="160" t="s">
        <v>6</v>
      </c>
      <c r="X5" s="160" t="s">
        <v>13</v>
      </c>
      <c r="Y5" s="160" t="s">
        <v>360</v>
      </c>
      <c r="Z5" s="160" t="s">
        <v>14</v>
      </c>
      <c r="AA5" s="160" t="s">
        <v>485</v>
      </c>
      <c r="AB5" s="164" t="s">
        <v>15</v>
      </c>
      <c r="AC5" s="160" t="s">
        <v>16</v>
      </c>
    </row>
    <row r="6" spans="1:31" ht="20.25" customHeight="1" x14ac:dyDescent="0.25">
      <c r="A6" s="137" t="s">
        <v>17</v>
      </c>
      <c r="B6" s="150"/>
      <c r="C6" s="150"/>
      <c r="D6" s="252"/>
      <c r="E6" s="148"/>
      <c r="F6" s="148"/>
      <c r="G6" s="148"/>
      <c r="H6" s="148"/>
      <c r="I6" s="148"/>
      <c r="J6" s="148"/>
      <c r="K6" s="251"/>
      <c r="L6" s="148"/>
      <c r="M6" s="148"/>
      <c r="N6" s="251"/>
      <c r="O6" s="251"/>
      <c r="P6" s="148"/>
      <c r="Q6" s="247"/>
      <c r="R6" s="148"/>
      <c r="S6" s="148"/>
      <c r="T6" s="148"/>
      <c r="U6" s="148"/>
      <c r="V6" s="148"/>
      <c r="W6" s="148"/>
      <c r="X6" s="148"/>
      <c r="Y6" s="148"/>
      <c r="Z6" s="148"/>
      <c r="AA6" s="143"/>
      <c r="AB6" s="165"/>
      <c r="AC6" s="143"/>
    </row>
    <row r="7" spans="1:31" ht="20.25" customHeight="1" x14ac:dyDescent="0.25">
      <c r="A7" s="2" t="s">
        <v>18</v>
      </c>
      <c r="B7" s="142" cm="1">
        <f t="array" ref="B7">IF(ISERROR(_xlfn.XLOOKUP(B$5,'QB_Funds Analysis raw'!$B$5:$AC$5, _xlfn.XLOOKUP($A7,'QB_Funds Analysis raw'!$A$6:$A$104,'QB_Funds Analysis raw'!$B$6:$AC$104))),0,(_xlfn.XLOOKUP(B$5,'QB_Funds Analysis raw'!$B$5:$AC$5, _xlfn.XLOOKUP($A7,'QB_Funds Analysis raw'!$A$6:$A$104,'QB_Funds Analysis raw'!$B$6:$AC$104))))</f>
        <v>0</v>
      </c>
      <c r="C7" s="142" cm="1">
        <f t="array" ref="C7">IF(ISERROR(_xlfn.XLOOKUP(C$5,'QB_Funds Analysis raw'!$B$5:$AC$5, _xlfn.XLOOKUP($A7,'QB_Funds Analysis raw'!$A$6:$A$104,'QB_Funds Analysis raw'!$B$6:$AC$104))),0,(_xlfn.XLOOKUP(C$5,'QB_Funds Analysis raw'!$B$5:$AC$5, _xlfn.XLOOKUP($A7,'QB_Funds Analysis raw'!$A$6:$A$104,'QB_Funds Analysis raw'!$B$6:$AC$104))))</f>
        <v>0</v>
      </c>
      <c r="D7" s="252" cm="1">
        <f t="array" ref="D7">IF(ISERROR(_xlfn.XLOOKUP(D$5,'QB_Funds Analysis raw'!$B$5:$AC$5, _xlfn.XLOOKUP($A7,'QB_Funds Analysis raw'!$A$6:$A$104,'QB_Funds Analysis raw'!$B$6:$AC$104))),0,(_xlfn.XLOOKUP(D$5,'QB_Funds Analysis raw'!$B$5:$AC$5, _xlfn.XLOOKUP($A7,'QB_Funds Analysis raw'!$A$6:$A$104,'QB_Funds Analysis raw'!$B$6:$AC$104))))</f>
        <v>0</v>
      </c>
      <c r="E7" s="142" cm="1">
        <f t="array" ref="E7">IF(ISERROR(_xlfn.XLOOKUP(E$5,'QB_Funds Analysis raw'!$B$5:$AC$5, _xlfn.XLOOKUP($A7,'QB_Funds Analysis raw'!$A$6:$A$104,'QB_Funds Analysis raw'!$B$6:$AC$104))),0,(_xlfn.XLOOKUP(E$5,'QB_Funds Analysis raw'!$B$5:$AC$5, _xlfn.XLOOKUP($A7,'QB_Funds Analysis raw'!$A$6:$A$104,'QB_Funds Analysis raw'!$B$6:$AC$104))))</f>
        <v>0</v>
      </c>
      <c r="F7" s="142" cm="1">
        <f t="array" ref="F7">IF(ISERROR(_xlfn.XLOOKUP(F$5,'QB_Funds Analysis raw'!$B$5:$AC$5, _xlfn.XLOOKUP($A7,'QB_Funds Analysis raw'!$A$6:$A$104,'QB_Funds Analysis raw'!$B$6:$AC$104))),0,(_xlfn.XLOOKUP(F$5,'QB_Funds Analysis raw'!$B$5:$AC$5, _xlfn.XLOOKUP($A7,'QB_Funds Analysis raw'!$A$6:$A$104,'QB_Funds Analysis raw'!$B$6:$AC$104))))</f>
        <v>0</v>
      </c>
      <c r="G7" s="142" cm="1">
        <f t="array" ref="G7">IF(ISERROR(_xlfn.XLOOKUP(G$5,'QB_Funds Analysis raw'!$B$5:$AC$5, _xlfn.XLOOKUP($A7,'QB_Funds Analysis raw'!$A$6:$A$104,'QB_Funds Analysis raw'!$B$6:$AC$104))),0,(_xlfn.XLOOKUP(G$5,'QB_Funds Analysis raw'!$B$5:$AC$5, _xlfn.XLOOKUP($A7,'QB_Funds Analysis raw'!$A$6:$A$104,'QB_Funds Analysis raw'!$B$6:$AC$104))))</f>
        <v>0</v>
      </c>
      <c r="H7" s="142" cm="1">
        <f t="array" ref="H7">IF(ISERROR(_xlfn.XLOOKUP(H$5,'QB_Funds Analysis raw'!$B$5:$AC$5, _xlfn.XLOOKUP($A7,'QB_Funds Analysis raw'!$A$6:$A$104,'QB_Funds Analysis raw'!$B$6:$AC$104))),0,(_xlfn.XLOOKUP(H$5,'QB_Funds Analysis raw'!$B$5:$AC$5, _xlfn.XLOOKUP($A7,'QB_Funds Analysis raw'!$A$6:$A$104,'QB_Funds Analysis raw'!$B$6:$AC$104))))</f>
        <v>0</v>
      </c>
      <c r="I7" s="142" cm="1">
        <f t="array" ref="I7">IF(ISERROR(_xlfn.XLOOKUP(I$5,'QB_Funds Analysis raw'!$B$5:$AC$5, _xlfn.XLOOKUP($A7,'QB_Funds Analysis raw'!$A$6:$A$104,'QB_Funds Analysis raw'!$B$6:$AC$104))),0,(_xlfn.XLOOKUP(I$5,'QB_Funds Analysis raw'!$B$5:$AC$5, _xlfn.XLOOKUP($A7,'QB_Funds Analysis raw'!$A$6:$A$104,'QB_Funds Analysis raw'!$B$6:$AC$104))))</f>
        <v>0</v>
      </c>
      <c r="J7" s="142" cm="1">
        <f t="array" ref="J7">IF(ISERROR(_xlfn.XLOOKUP(J$5,'QB_Funds Analysis raw'!$B$5:$AC$5, _xlfn.XLOOKUP($A7,'QB_Funds Analysis raw'!$A$6:$A$104,'QB_Funds Analysis raw'!$B$6:$AC$104))),0,(_xlfn.XLOOKUP(J$5,'QB_Funds Analysis raw'!$B$5:$AC$5, _xlfn.XLOOKUP($A7,'QB_Funds Analysis raw'!$A$6:$A$104,'QB_Funds Analysis raw'!$B$6:$AC$104))))</f>
        <v>0</v>
      </c>
      <c r="K7" s="252" cm="1">
        <f t="array" ref="K7">IF(ISERROR(_xlfn.XLOOKUP(K$5,'QB_Funds Analysis raw'!$B$5:$AC$5, _xlfn.XLOOKUP($A7,'QB_Funds Analysis raw'!$A$6:$A$104,'QB_Funds Analysis raw'!$B$6:$AC$104))),0,(_xlfn.XLOOKUP(K$5,'QB_Funds Analysis raw'!$B$5:$AC$5, _xlfn.XLOOKUP($A7,'QB_Funds Analysis raw'!$A$6:$A$104,'QB_Funds Analysis raw'!$B$6:$AC$104))))</f>
        <v>0</v>
      </c>
      <c r="L7" s="142" cm="1">
        <f t="array" ref="L7">IF(ISERROR(_xlfn.XLOOKUP(L$5,'QB_Funds Analysis raw'!$B$5:$AC$5, _xlfn.XLOOKUP($A7,'QB_Funds Analysis raw'!$A$6:$A$104,'QB_Funds Analysis raw'!$B$6:$AC$104))),0,(_xlfn.XLOOKUP(L$5,'QB_Funds Analysis raw'!$B$5:$AC$5, _xlfn.XLOOKUP($A7,'QB_Funds Analysis raw'!$A$6:$A$104,'QB_Funds Analysis raw'!$B$6:$AC$104))))</f>
        <v>0</v>
      </c>
      <c r="M7" s="142" cm="1">
        <f t="array" ref="M7">IF(ISERROR(_xlfn.XLOOKUP(M$5,'QB_Funds Analysis raw'!$B$5:$AC$5, _xlfn.XLOOKUP($A7,'QB_Funds Analysis raw'!$A$6:$A$104,'QB_Funds Analysis raw'!$B$6:$AC$104))),0,(_xlfn.XLOOKUP(M$5,'QB_Funds Analysis raw'!$B$5:$AC$5, _xlfn.XLOOKUP($A7,'QB_Funds Analysis raw'!$A$6:$A$104,'QB_Funds Analysis raw'!$B$6:$AC$104))))</f>
        <v>0</v>
      </c>
      <c r="N7" s="252" cm="1">
        <f t="array" ref="N7">IF(ISERROR(_xlfn.XLOOKUP(N$5,'QB_Funds Analysis raw'!$B$5:$AC$5, _xlfn.XLOOKUP($A7,'QB_Funds Analysis raw'!$A$6:$A$104,'QB_Funds Analysis raw'!$B$6:$AC$104))),0,(_xlfn.XLOOKUP(N$5,'QB_Funds Analysis raw'!$B$5:$AC$5, _xlfn.XLOOKUP($A7,'QB_Funds Analysis raw'!$A$6:$A$104,'QB_Funds Analysis raw'!$B$6:$AC$104))))</f>
        <v>0</v>
      </c>
      <c r="O7" s="252" cm="1">
        <f t="array" ref="O7">IF(ISERROR(_xlfn.XLOOKUP(O$5,'QB_Funds Analysis raw'!$B$5:$AC$5, _xlfn.XLOOKUP($A7,'QB_Funds Analysis raw'!$A$6:$A$104,'QB_Funds Analysis raw'!$B$6:$AC$104))),0,(_xlfn.XLOOKUP(O$5,'QB_Funds Analysis raw'!$B$5:$AC$5, _xlfn.XLOOKUP($A7,'QB_Funds Analysis raw'!$A$6:$A$104,'QB_Funds Analysis raw'!$B$6:$AC$104))))</f>
        <v>0</v>
      </c>
      <c r="P7" s="142" cm="1">
        <f t="array" ref="P7">IF(ISERROR(_xlfn.XLOOKUP(P$5,'QB_Funds Analysis raw'!$B$5:$AC$5, _xlfn.XLOOKUP($A7,'QB_Funds Analysis raw'!$A$6:$A$104,'QB_Funds Analysis raw'!$B$6:$AC$104))),0,(_xlfn.XLOOKUP(P$5,'QB_Funds Analysis raw'!$B$5:$AC$5, _xlfn.XLOOKUP($A7,'QB_Funds Analysis raw'!$A$6:$A$104,'QB_Funds Analysis raw'!$B$6:$AC$104))))</f>
        <v>0</v>
      </c>
      <c r="Q7" s="247" cm="1">
        <f t="array" ref="Q7">IF(ISERROR(_xlfn.XLOOKUP(Q$5,'QB_Funds Analysis raw'!$B$5:$AC$5, _xlfn.XLOOKUP($A7,'QB_Funds Analysis raw'!$A$6:$A$104,'QB_Funds Analysis raw'!$B$6:$AC$104))),0,(_xlfn.XLOOKUP(Q$5,'QB_Funds Analysis raw'!$B$5:$AC$5, _xlfn.XLOOKUP($A7,'QB_Funds Analysis raw'!$A$6:$A$104,'QB_Funds Analysis raw'!$B$6:$AC$104))))</f>
        <v>0</v>
      </c>
      <c r="R7" s="142" cm="1">
        <f t="array" ref="R7">IF(ISERROR(_xlfn.XLOOKUP(R$5,'QB_Funds Analysis raw'!$B$5:$AC$5, _xlfn.XLOOKUP($A7,'QB_Funds Analysis raw'!$A$6:$A$104,'QB_Funds Analysis raw'!$B$6:$AC$104))),0,(_xlfn.XLOOKUP(R$5,'QB_Funds Analysis raw'!$B$5:$AC$5, _xlfn.XLOOKUP($A7,'QB_Funds Analysis raw'!$A$6:$A$104,'QB_Funds Analysis raw'!$B$6:$AC$104))))</f>
        <v>0</v>
      </c>
      <c r="S7" s="142" cm="1">
        <f t="array" ref="S7">IF(ISERROR(_xlfn.XLOOKUP(S$5,'QB_Funds Analysis raw'!$B$5:$AC$5, _xlfn.XLOOKUP($A7,'QB_Funds Analysis raw'!$A$6:$A$104,'QB_Funds Analysis raw'!$B$6:$AC$104))),0,(_xlfn.XLOOKUP(S$5,'QB_Funds Analysis raw'!$B$5:$AC$5, _xlfn.XLOOKUP($A7,'QB_Funds Analysis raw'!$A$6:$A$104,'QB_Funds Analysis raw'!$B$6:$AC$104))))</f>
        <v>0</v>
      </c>
      <c r="T7" s="142" cm="1">
        <f t="array" ref="T7">IF(ISERROR(_xlfn.XLOOKUP(T$5,'QB_Funds Analysis raw'!$B$5:$AC$5, _xlfn.XLOOKUP($A7,'QB_Funds Analysis raw'!$A$6:$A$104,'QB_Funds Analysis raw'!$B$6:$AC$104))),0,(_xlfn.XLOOKUP(T$5,'QB_Funds Analysis raw'!$B$5:$AC$5, _xlfn.XLOOKUP($A7,'QB_Funds Analysis raw'!$A$6:$A$104,'QB_Funds Analysis raw'!$B$6:$AC$104))))</f>
        <v>0</v>
      </c>
      <c r="U7" s="142" cm="1">
        <f t="array" ref="U7">IF(ISERROR(_xlfn.XLOOKUP(U$5,'QB_Funds Analysis raw'!$B$5:$AC$5, _xlfn.XLOOKUP($A7,'QB_Funds Analysis raw'!$A$6:$A$104,'QB_Funds Analysis raw'!$B$6:$AC$104))),0,(_xlfn.XLOOKUP(U$5,'QB_Funds Analysis raw'!$B$5:$AC$5, _xlfn.XLOOKUP($A7,'QB_Funds Analysis raw'!$A$6:$A$104,'QB_Funds Analysis raw'!$B$6:$AC$104))))</f>
        <v>0</v>
      </c>
      <c r="V7" s="142" cm="1">
        <f t="array" ref="V7">IF(ISERROR(_xlfn.XLOOKUP(V$5,'QB_Funds Analysis raw'!$B$5:$AC$5, _xlfn.XLOOKUP($A7,'QB_Funds Analysis raw'!$A$6:$A$104,'QB_Funds Analysis raw'!$B$6:$AC$104))),0,(_xlfn.XLOOKUP(V$5,'QB_Funds Analysis raw'!$B$5:$AC$5, _xlfn.XLOOKUP($A7,'QB_Funds Analysis raw'!$A$6:$A$104,'QB_Funds Analysis raw'!$B$6:$AC$104))))</f>
        <v>0</v>
      </c>
      <c r="W7" s="142" cm="1">
        <f t="array" ref="W7">IF(ISERROR(_xlfn.XLOOKUP(W$5,'QB_Funds Analysis raw'!$B$5:$AC$5, _xlfn.XLOOKUP($A7,'QB_Funds Analysis raw'!$A$6:$A$104,'QB_Funds Analysis raw'!$B$6:$AC$104))),0,(_xlfn.XLOOKUP(W$5,'QB_Funds Analysis raw'!$B$5:$AC$5, _xlfn.XLOOKUP($A7,'QB_Funds Analysis raw'!$A$6:$A$104,'QB_Funds Analysis raw'!$B$6:$AC$104))))</f>
        <v>0</v>
      </c>
      <c r="X7" s="142" cm="1">
        <f t="array" ref="X7">IF(ISERROR(_xlfn.XLOOKUP(X$5,'QB_Funds Analysis raw'!$B$5:$AC$5, _xlfn.XLOOKUP($A7,'QB_Funds Analysis raw'!$A$6:$A$104,'QB_Funds Analysis raw'!$B$6:$AC$104))),0,(_xlfn.XLOOKUP(X$5,'QB_Funds Analysis raw'!$B$5:$AC$5, _xlfn.XLOOKUP($A7,'QB_Funds Analysis raw'!$A$6:$A$104,'QB_Funds Analysis raw'!$B$6:$AC$104))))</f>
        <v>0</v>
      </c>
      <c r="Y7" s="142" cm="1">
        <f t="array" ref="Y7">IF(ISERROR(_xlfn.XLOOKUP(Y$5,'QB_Funds Analysis raw'!$B$5:$AC$5, _xlfn.XLOOKUP($A7,'QB_Funds Analysis raw'!$A$6:$A$104,'QB_Funds Analysis raw'!$B$6:$AC$104))),0,(_xlfn.XLOOKUP(Y$5,'QB_Funds Analysis raw'!$B$5:$AC$5, _xlfn.XLOOKUP($A7,'QB_Funds Analysis raw'!$A$6:$A$104,'QB_Funds Analysis raw'!$B$6:$AC$104))))</f>
        <v>0</v>
      </c>
      <c r="Z7" s="142" cm="1">
        <f t="array" ref="Z7">IF(ISERROR(_xlfn.XLOOKUP(Z$5,'QB_Funds Analysis raw'!$B$5:$AC$5, _xlfn.XLOOKUP($A7,'QB_Funds Analysis raw'!$A$6:$A$104,'QB_Funds Analysis raw'!$B$6:$AC$104))),0,(_xlfn.XLOOKUP(Z$5,'QB_Funds Analysis raw'!$B$5:$AC$5, _xlfn.XLOOKUP($A7,'QB_Funds Analysis raw'!$A$6:$A$104,'QB_Funds Analysis raw'!$B$6:$AC$104))))</f>
        <v>0</v>
      </c>
      <c r="AA7" s="142" cm="1">
        <f t="array" ref="AA7">IF(ISERROR(_xlfn.XLOOKUP(AA$5,'QB_Funds Analysis raw'!$B$5:$AC$5, _xlfn.XLOOKUP($A7,'QB_Funds Analysis raw'!$A$6:$A$104,'QB_Funds Analysis raw'!$B$6:$AC$104))),0,(_xlfn.XLOOKUP(AA$5,'QB_Funds Analysis raw'!$B$5:$AC$5, _xlfn.XLOOKUP($A7,'QB_Funds Analysis raw'!$A$6:$A$104,'QB_Funds Analysis raw'!$B$6:$AC$104))))</f>
        <v>0</v>
      </c>
      <c r="AB7" s="142" cm="1">
        <f t="array" ref="AB7">IF(ISERROR(_xlfn.XLOOKUP(AB$5,'QB_Funds Analysis raw'!$B$5:$AC$5, _xlfn.XLOOKUP($A7,'QB_Funds Analysis raw'!$A$6:$A$104,'QB_Funds Analysis raw'!$B$6:$AC$104))),0,(_xlfn.XLOOKUP(AB$5,'QB_Funds Analysis raw'!$B$5:$AC$5, _xlfn.XLOOKUP($A7,'QB_Funds Analysis raw'!$A$6:$A$104,'QB_Funds Analysis raw'!$B$6:$AC$104))))</f>
        <v>0</v>
      </c>
      <c r="AC7" s="142" cm="1">
        <f t="array" ref="AC7">IF(ISERROR(_xlfn.XLOOKUP(AC$5,'QB_Funds Analysis raw'!$B$5:$AC$5, _xlfn.XLOOKUP($A7,'QB_Funds Analysis raw'!$A$6:$A$104,'QB_Funds Analysis raw'!$B$6:$AC$104))),0,(_xlfn.XLOOKUP(AC$5,'QB_Funds Analysis raw'!$B$5:$AC$5, _xlfn.XLOOKUP($A7,'QB_Funds Analysis raw'!$A$6:$A$104,'QB_Funds Analysis raw'!$B$6:$AC$104))))</f>
        <v>0</v>
      </c>
      <c r="AD7" s="167">
        <f t="shared" ref="AD7:AD37" si="0">AB7+Q7</f>
        <v>0</v>
      </c>
      <c r="AE7" s="167">
        <f t="shared" ref="AE7:AE8" si="1">AD7-AC7</f>
        <v>0</v>
      </c>
    </row>
    <row r="8" spans="1:31" ht="20.25" customHeight="1" x14ac:dyDescent="0.25">
      <c r="A8" s="2" t="s">
        <v>19</v>
      </c>
      <c r="B8" s="142" cm="1">
        <f t="array" ref="B8">IF(ISERROR(_xlfn.XLOOKUP(B$5,'QB_Funds Analysis raw'!$B$5:$AC$5, _xlfn.XLOOKUP($A8,'QB_Funds Analysis raw'!$A$6:$A$104,'QB_Funds Analysis raw'!$B$6:$AC$104))),0,(_xlfn.XLOOKUP(B$5,'QB_Funds Analysis raw'!$B$5:$AC$5, _xlfn.XLOOKUP($A8,'QB_Funds Analysis raw'!$A$6:$A$104,'QB_Funds Analysis raw'!$B$6:$AC$104))))</f>
        <v>0</v>
      </c>
      <c r="C8" s="142" cm="1">
        <f t="array" ref="C8">IF(ISERROR(_xlfn.XLOOKUP(C$5,'QB_Funds Analysis raw'!$B$5:$AC$5, _xlfn.XLOOKUP($A8,'QB_Funds Analysis raw'!$A$6:$A$104,'QB_Funds Analysis raw'!$B$6:$AC$104))),0,(_xlfn.XLOOKUP(C$5,'QB_Funds Analysis raw'!$B$5:$AC$5, _xlfn.XLOOKUP($A8,'QB_Funds Analysis raw'!$A$6:$A$104,'QB_Funds Analysis raw'!$B$6:$AC$104))))</f>
        <v>0</v>
      </c>
      <c r="D8" s="252" cm="1">
        <f t="array" ref="D8">IF(ISERROR(_xlfn.XLOOKUP(D$5,'QB_Funds Analysis raw'!$B$5:$AC$5, _xlfn.XLOOKUP($A8,'QB_Funds Analysis raw'!$A$6:$A$104,'QB_Funds Analysis raw'!$B$6:$AC$104))),0,(_xlfn.XLOOKUP(D$5,'QB_Funds Analysis raw'!$B$5:$AC$5, _xlfn.XLOOKUP($A8,'QB_Funds Analysis raw'!$A$6:$A$104,'QB_Funds Analysis raw'!$B$6:$AC$104))))</f>
        <v>0</v>
      </c>
      <c r="E8" s="142" cm="1">
        <f t="array" ref="E8">IF(ISERROR(_xlfn.XLOOKUP(E$5,'QB_Funds Analysis raw'!$B$5:$AC$5, _xlfn.XLOOKUP($A8,'QB_Funds Analysis raw'!$A$6:$A$104,'QB_Funds Analysis raw'!$B$6:$AC$104))),0,(_xlfn.XLOOKUP(E$5,'QB_Funds Analysis raw'!$B$5:$AC$5, _xlfn.XLOOKUP($A8,'QB_Funds Analysis raw'!$A$6:$A$104,'QB_Funds Analysis raw'!$B$6:$AC$104))))</f>
        <v>0</v>
      </c>
      <c r="F8" s="142" cm="1">
        <f t="array" ref="F8">IF(ISERROR(_xlfn.XLOOKUP(F$5,'QB_Funds Analysis raw'!$B$5:$AC$5, _xlfn.XLOOKUP($A8,'QB_Funds Analysis raw'!$A$6:$A$104,'QB_Funds Analysis raw'!$B$6:$AC$104))),0,(_xlfn.XLOOKUP(F$5,'QB_Funds Analysis raw'!$B$5:$AC$5, _xlfn.XLOOKUP($A8,'QB_Funds Analysis raw'!$A$6:$A$104,'QB_Funds Analysis raw'!$B$6:$AC$104))))</f>
        <v>0</v>
      </c>
      <c r="G8" s="142" cm="1">
        <f t="array" ref="G8">IF(ISERROR(_xlfn.XLOOKUP(G$5,'QB_Funds Analysis raw'!$B$5:$AC$5, _xlfn.XLOOKUP($A8,'QB_Funds Analysis raw'!$A$6:$A$104,'QB_Funds Analysis raw'!$B$6:$AC$104))),0,(_xlfn.XLOOKUP(G$5,'QB_Funds Analysis raw'!$B$5:$AC$5, _xlfn.XLOOKUP($A8,'QB_Funds Analysis raw'!$A$6:$A$104,'QB_Funds Analysis raw'!$B$6:$AC$104))))</f>
        <v>0</v>
      </c>
      <c r="H8" s="142" cm="1">
        <f t="array" ref="H8">IF(ISERROR(_xlfn.XLOOKUP(H$5,'QB_Funds Analysis raw'!$B$5:$AC$5, _xlfn.XLOOKUP($A8,'QB_Funds Analysis raw'!$A$6:$A$104,'QB_Funds Analysis raw'!$B$6:$AC$104))),0,(_xlfn.XLOOKUP(H$5,'QB_Funds Analysis raw'!$B$5:$AC$5, _xlfn.XLOOKUP($A8,'QB_Funds Analysis raw'!$A$6:$A$104,'QB_Funds Analysis raw'!$B$6:$AC$104))))</f>
        <v>0</v>
      </c>
      <c r="I8" s="142" cm="1">
        <f t="array" ref="I8">IF(ISERROR(_xlfn.XLOOKUP(I$5,'QB_Funds Analysis raw'!$B$5:$AC$5, _xlfn.XLOOKUP($A8,'QB_Funds Analysis raw'!$A$6:$A$104,'QB_Funds Analysis raw'!$B$6:$AC$104))),0,(_xlfn.XLOOKUP(I$5,'QB_Funds Analysis raw'!$B$5:$AC$5, _xlfn.XLOOKUP($A8,'QB_Funds Analysis raw'!$A$6:$A$104,'QB_Funds Analysis raw'!$B$6:$AC$104))))</f>
        <v>0</v>
      </c>
      <c r="J8" s="142" cm="1">
        <f t="array" ref="J8">IF(ISERROR(_xlfn.XLOOKUP(J$5,'QB_Funds Analysis raw'!$B$5:$AC$5, _xlfn.XLOOKUP($A8,'QB_Funds Analysis raw'!$A$6:$A$104,'QB_Funds Analysis raw'!$B$6:$AC$104))),0,(_xlfn.XLOOKUP(J$5,'QB_Funds Analysis raw'!$B$5:$AC$5, _xlfn.XLOOKUP($A8,'QB_Funds Analysis raw'!$A$6:$A$104,'QB_Funds Analysis raw'!$B$6:$AC$104))))</f>
        <v>0</v>
      </c>
      <c r="K8" s="252" cm="1">
        <f t="array" ref="K8">IF(ISERROR(_xlfn.XLOOKUP(K$5,'QB_Funds Analysis raw'!$B$5:$AC$5, _xlfn.XLOOKUP($A8,'QB_Funds Analysis raw'!$A$6:$A$104,'QB_Funds Analysis raw'!$B$6:$AC$104))),0,(_xlfn.XLOOKUP(K$5,'QB_Funds Analysis raw'!$B$5:$AC$5, _xlfn.XLOOKUP($A8,'QB_Funds Analysis raw'!$A$6:$A$104,'QB_Funds Analysis raw'!$B$6:$AC$104))))</f>
        <v>0</v>
      </c>
      <c r="L8" s="142" cm="1">
        <f t="array" ref="L8">IF(ISERROR(_xlfn.XLOOKUP(L$5,'QB_Funds Analysis raw'!$B$5:$AC$5, _xlfn.XLOOKUP($A8,'QB_Funds Analysis raw'!$A$6:$A$104,'QB_Funds Analysis raw'!$B$6:$AC$104))),0,(_xlfn.XLOOKUP(L$5,'QB_Funds Analysis raw'!$B$5:$AC$5, _xlfn.XLOOKUP($A8,'QB_Funds Analysis raw'!$A$6:$A$104,'QB_Funds Analysis raw'!$B$6:$AC$104))))</f>
        <v>0</v>
      </c>
      <c r="M8" s="142" cm="1">
        <f t="array" ref="M8">IF(ISERROR(_xlfn.XLOOKUP(M$5,'QB_Funds Analysis raw'!$B$5:$AC$5, _xlfn.XLOOKUP($A8,'QB_Funds Analysis raw'!$A$6:$A$104,'QB_Funds Analysis raw'!$B$6:$AC$104))),0,(_xlfn.XLOOKUP(M$5,'QB_Funds Analysis raw'!$B$5:$AC$5, _xlfn.XLOOKUP($A8,'QB_Funds Analysis raw'!$A$6:$A$104,'QB_Funds Analysis raw'!$B$6:$AC$104))))</f>
        <v>0</v>
      </c>
      <c r="N8" s="252" cm="1">
        <f t="array" ref="N8">IF(ISERROR(_xlfn.XLOOKUP(N$5,'QB_Funds Analysis raw'!$B$5:$AC$5, _xlfn.XLOOKUP($A8,'QB_Funds Analysis raw'!$A$6:$A$104,'QB_Funds Analysis raw'!$B$6:$AC$104))),0,(_xlfn.XLOOKUP(N$5,'QB_Funds Analysis raw'!$B$5:$AC$5, _xlfn.XLOOKUP($A8,'QB_Funds Analysis raw'!$A$6:$A$104,'QB_Funds Analysis raw'!$B$6:$AC$104))))</f>
        <v>0</v>
      </c>
      <c r="O8" s="252" cm="1">
        <f t="array" ref="O8">IF(ISERROR(_xlfn.XLOOKUP(O$5,'QB_Funds Analysis raw'!$B$5:$AC$5, _xlfn.XLOOKUP($A8,'QB_Funds Analysis raw'!$A$6:$A$104,'QB_Funds Analysis raw'!$B$6:$AC$104))),0,(_xlfn.XLOOKUP(O$5,'QB_Funds Analysis raw'!$B$5:$AC$5, _xlfn.XLOOKUP($A8,'QB_Funds Analysis raw'!$A$6:$A$104,'QB_Funds Analysis raw'!$B$6:$AC$104))))</f>
        <v>0</v>
      </c>
      <c r="P8" s="142" cm="1">
        <f t="array" ref="P8">IF(ISERROR(_xlfn.XLOOKUP(P$5,'QB_Funds Analysis raw'!$B$5:$AC$5, _xlfn.XLOOKUP($A8,'QB_Funds Analysis raw'!$A$6:$A$104,'QB_Funds Analysis raw'!$B$6:$AC$104))),0,(_xlfn.XLOOKUP(P$5,'QB_Funds Analysis raw'!$B$5:$AC$5, _xlfn.XLOOKUP($A8,'QB_Funds Analysis raw'!$A$6:$A$104,'QB_Funds Analysis raw'!$B$6:$AC$104))))</f>
        <v>0</v>
      </c>
      <c r="Q8" s="247" cm="1">
        <f t="array" ref="Q8">IF(ISERROR(_xlfn.XLOOKUP(Q$5,'QB_Funds Analysis raw'!$B$5:$AC$5, _xlfn.XLOOKUP($A8,'QB_Funds Analysis raw'!$A$6:$A$104,'QB_Funds Analysis raw'!$B$6:$AC$104))),0,(_xlfn.XLOOKUP(Q$5,'QB_Funds Analysis raw'!$B$5:$AC$5, _xlfn.XLOOKUP($A8,'QB_Funds Analysis raw'!$A$6:$A$104,'QB_Funds Analysis raw'!$B$6:$AC$104))))</f>
        <v>0</v>
      </c>
      <c r="R8" s="142" cm="1">
        <f t="array" ref="R8">IF(ISERROR(_xlfn.XLOOKUP(R$5,'QB_Funds Analysis raw'!$B$5:$AC$5, _xlfn.XLOOKUP($A8,'QB_Funds Analysis raw'!$A$6:$A$104,'QB_Funds Analysis raw'!$B$6:$AC$104))),0,(_xlfn.XLOOKUP(R$5,'QB_Funds Analysis raw'!$B$5:$AC$5, _xlfn.XLOOKUP($A8,'QB_Funds Analysis raw'!$A$6:$A$104,'QB_Funds Analysis raw'!$B$6:$AC$104))))</f>
        <v>0</v>
      </c>
      <c r="S8" s="142" cm="1">
        <f t="array" ref="S8">IF(ISERROR(_xlfn.XLOOKUP(S$5,'QB_Funds Analysis raw'!$B$5:$AC$5, _xlfn.XLOOKUP($A8,'QB_Funds Analysis raw'!$A$6:$A$104,'QB_Funds Analysis raw'!$B$6:$AC$104))),0,(_xlfn.XLOOKUP(S$5,'QB_Funds Analysis raw'!$B$5:$AC$5, _xlfn.XLOOKUP($A8,'QB_Funds Analysis raw'!$A$6:$A$104,'QB_Funds Analysis raw'!$B$6:$AC$104))))</f>
        <v>0</v>
      </c>
      <c r="T8" s="142" cm="1">
        <f t="array" ref="T8">IF(ISERROR(_xlfn.XLOOKUP(T$5,'QB_Funds Analysis raw'!$B$5:$AC$5, _xlfn.XLOOKUP($A8,'QB_Funds Analysis raw'!$A$6:$A$104,'QB_Funds Analysis raw'!$B$6:$AC$104))),0,(_xlfn.XLOOKUP(T$5,'QB_Funds Analysis raw'!$B$5:$AC$5, _xlfn.XLOOKUP($A8,'QB_Funds Analysis raw'!$A$6:$A$104,'QB_Funds Analysis raw'!$B$6:$AC$104))))</f>
        <v>0</v>
      </c>
      <c r="U8" s="142" cm="1">
        <f t="array" ref="U8">IF(ISERROR(_xlfn.XLOOKUP(U$5,'QB_Funds Analysis raw'!$B$5:$AC$5, _xlfn.XLOOKUP($A8,'QB_Funds Analysis raw'!$A$6:$A$104,'QB_Funds Analysis raw'!$B$6:$AC$104))),0,(_xlfn.XLOOKUP(U$5,'QB_Funds Analysis raw'!$B$5:$AC$5, _xlfn.XLOOKUP($A8,'QB_Funds Analysis raw'!$A$6:$A$104,'QB_Funds Analysis raw'!$B$6:$AC$104))))</f>
        <v>0</v>
      </c>
      <c r="V8" s="142" cm="1">
        <f t="array" ref="V8">IF(ISERROR(_xlfn.XLOOKUP(V$5,'QB_Funds Analysis raw'!$B$5:$AC$5, _xlfn.XLOOKUP($A8,'QB_Funds Analysis raw'!$A$6:$A$104,'QB_Funds Analysis raw'!$B$6:$AC$104))),0,(_xlfn.XLOOKUP(V$5,'QB_Funds Analysis raw'!$B$5:$AC$5, _xlfn.XLOOKUP($A8,'QB_Funds Analysis raw'!$A$6:$A$104,'QB_Funds Analysis raw'!$B$6:$AC$104))))</f>
        <v>0</v>
      </c>
      <c r="W8" s="142" cm="1">
        <f t="array" ref="W8">IF(ISERROR(_xlfn.XLOOKUP(W$5,'QB_Funds Analysis raw'!$B$5:$AC$5, _xlfn.XLOOKUP($A8,'QB_Funds Analysis raw'!$A$6:$A$104,'QB_Funds Analysis raw'!$B$6:$AC$104))),0,(_xlfn.XLOOKUP(W$5,'QB_Funds Analysis raw'!$B$5:$AC$5, _xlfn.XLOOKUP($A8,'QB_Funds Analysis raw'!$A$6:$A$104,'QB_Funds Analysis raw'!$B$6:$AC$104))))</f>
        <v>0</v>
      </c>
      <c r="X8" s="142" cm="1">
        <f t="array" ref="X8">IF(ISERROR(_xlfn.XLOOKUP(X$5,'QB_Funds Analysis raw'!$B$5:$AC$5, _xlfn.XLOOKUP($A8,'QB_Funds Analysis raw'!$A$6:$A$104,'QB_Funds Analysis raw'!$B$6:$AC$104))),0,(_xlfn.XLOOKUP(X$5,'QB_Funds Analysis raw'!$B$5:$AC$5, _xlfn.XLOOKUP($A8,'QB_Funds Analysis raw'!$A$6:$A$104,'QB_Funds Analysis raw'!$B$6:$AC$104))))</f>
        <v>0</v>
      </c>
      <c r="Y8" s="142" cm="1">
        <f t="array" ref="Y8">IF(ISERROR(_xlfn.XLOOKUP(Y$5,'QB_Funds Analysis raw'!$B$5:$AC$5, _xlfn.XLOOKUP($A8,'QB_Funds Analysis raw'!$A$6:$A$104,'QB_Funds Analysis raw'!$B$6:$AC$104))),0,(_xlfn.XLOOKUP(Y$5,'QB_Funds Analysis raw'!$B$5:$AC$5, _xlfn.XLOOKUP($A8,'QB_Funds Analysis raw'!$A$6:$A$104,'QB_Funds Analysis raw'!$B$6:$AC$104))))</f>
        <v>0</v>
      </c>
      <c r="Z8" s="142" cm="1">
        <f t="array" ref="Z8">IF(ISERROR(_xlfn.XLOOKUP(Z$5,'QB_Funds Analysis raw'!$B$5:$AC$5, _xlfn.XLOOKUP($A8,'QB_Funds Analysis raw'!$A$6:$A$104,'QB_Funds Analysis raw'!$B$6:$AC$104))),0,(_xlfn.XLOOKUP(Z$5,'QB_Funds Analysis raw'!$B$5:$AC$5, _xlfn.XLOOKUP($A8,'QB_Funds Analysis raw'!$A$6:$A$104,'QB_Funds Analysis raw'!$B$6:$AC$104))))</f>
        <v>0</v>
      </c>
      <c r="AA8" s="142" cm="1">
        <f t="array" ref="AA8">IF(ISERROR(_xlfn.XLOOKUP(AA$5,'QB_Funds Analysis raw'!$B$5:$AC$5, _xlfn.XLOOKUP($A8,'QB_Funds Analysis raw'!$A$6:$A$104,'QB_Funds Analysis raw'!$B$6:$AC$104))),0,(_xlfn.XLOOKUP(AA$5,'QB_Funds Analysis raw'!$B$5:$AC$5, _xlfn.XLOOKUP($A8,'QB_Funds Analysis raw'!$A$6:$A$104,'QB_Funds Analysis raw'!$B$6:$AC$104))))</f>
        <v>0</v>
      </c>
      <c r="AB8" s="142" cm="1">
        <f t="array" ref="AB8">IF(ISERROR(_xlfn.XLOOKUP(AB$5,'QB_Funds Analysis raw'!$B$5:$AC$5, _xlfn.XLOOKUP($A8,'QB_Funds Analysis raw'!$A$6:$A$104,'QB_Funds Analysis raw'!$B$6:$AC$104))),0,(_xlfn.XLOOKUP(AB$5,'QB_Funds Analysis raw'!$B$5:$AC$5, _xlfn.XLOOKUP($A8,'QB_Funds Analysis raw'!$A$6:$A$104,'QB_Funds Analysis raw'!$B$6:$AC$104))))</f>
        <v>0</v>
      </c>
      <c r="AC8" s="142" cm="1">
        <f t="array" ref="AC8">IF(ISERROR(_xlfn.XLOOKUP(AC$5,'QB_Funds Analysis raw'!$B$5:$AC$5, _xlfn.XLOOKUP($A8,'QB_Funds Analysis raw'!$A$6:$A$104,'QB_Funds Analysis raw'!$B$6:$AC$104))),0,(_xlfn.XLOOKUP(AC$5,'QB_Funds Analysis raw'!$B$5:$AC$5, _xlfn.XLOOKUP($A8,'QB_Funds Analysis raw'!$A$6:$A$104,'QB_Funds Analysis raw'!$B$6:$AC$104))))</f>
        <v>0</v>
      </c>
      <c r="AD8" s="167">
        <f t="shared" si="0"/>
        <v>0</v>
      </c>
      <c r="AE8" s="167">
        <f t="shared" si="1"/>
        <v>0</v>
      </c>
    </row>
    <row r="9" spans="1:31" ht="20.25" customHeight="1" x14ac:dyDescent="0.25">
      <c r="A9" s="2" t="s">
        <v>20</v>
      </c>
      <c r="B9" s="142" cm="1">
        <f t="array" ref="B9">IF(ISERROR(_xlfn.XLOOKUP(B$5,'QB_Funds Analysis raw'!$B$5:$AC$5, _xlfn.XLOOKUP($A9,'QB_Funds Analysis raw'!$A$6:$A$104,'QB_Funds Analysis raw'!$B$6:$AC$104))),0,(_xlfn.XLOOKUP(B$5,'QB_Funds Analysis raw'!$B$5:$AC$5, _xlfn.XLOOKUP($A9,'QB_Funds Analysis raw'!$A$6:$A$104,'QB_Funds Analysis raw'!$B$6:$AC$104))))</f>
        <v>0</v>
      </c>
      <c r="C9" s="142" cm="1">
        <f t="array" ref="C9">IF(ISERROR(_xlfn.XLOOKUP(C$5,'QB_Funds Analysis raw'!$B$5:$AC$5, _xlfn.XLOOKUP($A9,'QB_Funds Analysis raw'!$A$6:$A$104,'QB_Funds Analysis raw'!$B$6:$AC$104))),0,(_xlfn.XLOOKUP(C$5,'QB_Funds Analysis raw'!$B$5:$AC$5, _xlfn.XLOOKUP($A9,'QB_Funds Analysis raw'!$A$6:$A$104,'QB_Funds Analysis raw'!$B$6:$AC$104))))</f>
        <v>0</v>
      </c>
      <c r="D9" s="252" cm="1">
        <f t="array" ref="D9">IF(ISERROR(_xlfn.XLOOKUP(D$5,'QB_Funds Analysis raw'!$B$5:$AC$5, _xlfn.XLOOKUP($A9,'QB_Funds Analysis raw'!$A$6:$A$104,'QB_Funds Analysis raw'!$B$6:$AC$104))),0,(_xlfn.XLOOKUP(D$5,'QB_Funds Analysis raw'!$B$5:$AC$5, _xlfn.XLOOKUP($A9,'QB_Funds Analysis raw'!$A$6:$A$104,'QB_Funds Analysis raw'!$B$6:$AC$104))))</f>
        <v>0</v>
      </c>
      <c r="E9" s="142" cm="1">
        <f t="array" ref="E9">IF(ISERROR(_xlfn.XLOOKUP(E$5,'QB_Funds Analysis raw'!$B$5:$AC$5, _xlfn.XLOOKUP($A9,'QB_Funds Analysis raw'!$A$6:$A$104,'QB_Funds Analysis raw'!$B$6:$AC$104))),0,(_xlfn.XLOOKUP(E$5,'QB_Funds Analysis raw'!$B$5:$AC$5, _xlfn.XLOOKUP($A9,'QB_Funds Analysis raw'!$A$6:$A$104,'QB_Funds Analysis raw'!$B$6:$AC$104))))</f>
        <v>0</v>
      </c>
      <c r="F9" s="142" cm="1">
        <f t="array" ref="F9">IF(ISERROR(_xlfn.XLOOKUP(F$5,'QB_Funds Analysis raw'!$B$5:$AC$5, _xlfn.XLOOKUP($A9,'QB_Funds Analysis raw'!$A$6:$A$104,'QB_Funds Analysis raw'!$B$6:$AC$104))),0,(_xlfn.XLOOKUP(F$5,'QB_Funds Analysis raw'!$B$5:$AC$5, _xlfn.XLOOKUP($A9,'QB_Funds Analysis raw'!$A$6:$A$104,'QB_Funds Analysis raw'!$B$6:$AC$104))))</f>
        <v>0</v>
      </c>
      <c r="G9" s="142" cm="1">
        <f t="array" ref="G9">IF(ISERROR(_xlfn.XLOOKUP(G$5,'QB_Funds Analysis raw'!$B$5:$AC$5, _xlfn.XLOOKUP($A9,'QB_Funds Analysis raw'!$A$6:$A$104,'QB_Funds Analysis raw'!$B$6:$AC$104))),0,(_xlfn.XLOOKUP(G$5,'QB_Funds Analysis raw'!$B$5:$AC$5, _xlfn.XLOOKUP($A9,'QB_Funds Analysis raw'!$A$6:$A$104,'QB_Funds Analysis raw'!$B$6:$AC$104))))</f>
        <v>0</v>
      </c>
      <c r="H9" s="142" cm="1">
        <f t="array" ref="H9">IF(ISERROR(_xlfn.XLOOKUP(H$5,'QB_Funds Analysis raw'!$B$5:$AC$5, _xlfn.XLOOKUP($A9,'QB_Funds Analysis raw'!$A$6:$A$104,'QB_Funds Analysis raw'!$B$6:$AC$104))),0,(_xlfn.XLOOKUP(H$5,'QB_Funds Analysis raw'!$B$5:$AC$5, _xlfn.XLOOKUP($A9,'QB_Funds Analysis raw'!$A$6:$A$104,'QB_Funds Analysis raw'!$B$6:$AC$104))))</f>
        <v>0</v>
      </c>
      <c r="I9" s="142" cm="1">
        <f t="array" ref="I9">IF(ISERROR(_xlfn.XLOOKUP(I$5,'QB_Funds Analysis raw'!$B$5:$AC$5, _xlfn.XLOOKUP($A9,'QB_Funds Analysis raw'!$A$6:$A$104,'QB_Funds Analysis raw'!$B$6:$AC$104))),0,(_xlfn.XLOOKUP(I$5,'QB_Funds Analysis raw'!$B$5:$AC$5, _xlfn.XLOOKUP($A9,'QB_Funds Analysis raw'!$A$6:$A$104,'QB_Funds Analysis raw'!$B$6:$AC$104))))</f>
        <v>0</v>
      </c>
      <c r="J9" s="142" cm="1">
        <f t="array" ref="J9">IF(ISERROR(_xlfn.XLOOKUP(J$5,'QB_Funds Analysis raw'!$B$5:$AC$5, _xlfn.XLOOKUP($A9,'QB_Funds Analysis raw'!$A$6:$A$104,'QB_Funds Analysis raw'!$B$6:$AC$104))),0,(_xlfn.XLOOKUP(J$5,'QB_Funds Analysis raw'!$B$5:$AC$5, _xlfn.XLOOKUP($A9,'QB_Funds Analysis raw'!$A$6:$A$104,'QB_Funds Analysis raw'!$B$6:$AC$104))))</f>
        <v>400</v>
      </c>
      <c r="K9" s="252" cm="1">
        <f t="array" ref="K9">IF(ISERROR(_xlfn.XLOOKUP(K$5,'QB_Funds Analysis raw'!$B$5:$AC$5, _xlfn.XLOOKUP($A9,'QB_Funds Analysis raw'!$A$6:$A$104,'QB_Funds Analysis raw'!$B$6:$AC$104))),0,(_xlfn.XLOOKUP(K$5,'QB_Funds Analysis raw'!$B$5:$AC$5, _xlfn.XLOOKUP($A9,'QB_Funds Analysis raw'!$A$6:$A$104,'QB_Funds Analysis raw'!$B$6:$AC$104))))</f>
        <v>112.8</v>
      </c>
      <c r="L9" s="142" cm="1">
        <f t="array" ref="L9">IF(ISERROR(_xlfn.XLOOKUP(L$5,'QB_Funds Analysis raw'!$B$5:$AC$5, _xlfn.XLOOKUP($A9,'QB_Funds Analysis raw'!$A$6:$A$104,'QB_Funds Analysis raw'!$B$6:$AC$104))),0,(_xlfn.XLOOKUP(L$5,'QB_Funds Analysis raw'!$B$5:$AC$5, _xlfn.XLOOKUP($A9,'QB_Funds Analysis raw'!$A$6:$A$104,'QB_Funds Analysis raw'!$B$6:$AC$104))))</f>
        <v>2000</v>
      </c>
      <c r="M9" s="142" cm="1">
        <f t="array" ref="M9">IF(ISERROR(_xlfn.XLOOKUP(M$5,'QB_Funds Analysis raw'!$B$5:$AC$5, _xlfn.XLOOKUP($A9,'QB_Funds Analysis raw'!$A$6:$A$104,'QB_Funds Analysis raw'!$B$6:$AC$104))),0,(_xlfn.XLOOKUP(M$5,'QB_Funds Analysis raw'!$B$5:$AC$5, _xlfn.XLOOKUP($A9,'QB_Funds Analysis raw'!$A$6:$A$104,'QB_Funds Analysis raw'!$B$6:$AC$104))))</f>
        <v>0</v>
      </c>
      <c r="N9" s="252" cm="1">
        <f t="array" ref="N9">IF(ISERROR(_xlfn.XLOOKUP(N$5,'QB_Funds Analysis raw'!$B$5:$AC$5, _xlfn.XLOOKUP($A9,'QB_Funds Analysis raw'!$A$6:$A$104,'QB_Funds Analysis raw'!$B$6:$AC$104))),0,(_xlfn.XLOOKUP(N$5,'QB_Funds Analysis raw'!$B$5:$AC$5, _xlfn.XLOOKUP($A9,'QB_Funds Analysis raw'!$A$6:$A$104,'QB_Funds Analysis raw'!$B$6:$AC$104))))</f>
        <v>0</v>
      </c>
      <c r="O9" s="252" cm="1">
        <f t="array" ref="O9">IF(ISERROR(_xlfn.XLOOKUP(O$5,'QB_Funds Analysis raw'!$B$5:$AC$5, _xlfn.XLOOKUP($A9,'QB_Funds Analysis raw'!$A$6:$A$104,'QB_Funds Analysis raw'!$B$6:$AC$104))),0,(_xlfn.XLOOKUP(O$5,'QB_Funds Analysis raw'!$B$5:$AC$5, _xlfn.XLOOKUP($A9,'QB_Funds Analysis raw'!$A$6:$A$104,'QB_Funds Analysis raw'!$B$6:$AC$104))))</f>
        <v>205</v>
      </c>
      <c r="P9" s="142" cm="1">
        <f t="array" ref="P9">IF(ISERROR(_xlfn.XLOOKUP(P$5,'QB_Funds Analysis raw'!$B$5:$AC$5, _xlfn.XLOOKUP($A9,'QB_Funds Analysis raw'!$A$6:$A$104,'QB_Funds Analysis raw'!$B$6:$AC$104))),0,(_xlfn.XLOOKUP(P$5,'QB_Funds Analysis raw'!$B$5:$AC$5, _xlfn.XLOOKUP($A9,'QB_Funds Analysis raw'!$A$6:$A$104,'QB_Funds Analysis raw'!$B$6:$AC$104))))</f>
        <v>0</v>
      </c>
      <c r="Q9" s="247" cm="1">
        <f t="array" ref="Q9">IF(ISERROR(_xlfn.XLOOKUP(Q$5,'QB_Funds Analysis raw'!$B$5:$AC$5, _xlfn.XLOOKUP($A9,'QB_Funds Analysis raw'!$A$6:$A$104,'QB_Funds Analysis raw'!$B$6:$AC$104))),0,(_xlfn.XLOOKUP(Q$5,'QB_Funds Analysis raw'!$B$5:$AC$5, _xlfn.XLOOKUP($A9,'QB_Funds Analysis raw'!$A$6:$A$104,'QB_Funds Analysis raw'!$B$6:$AC$104))))</f>
        <v>2976.99</v>
      </c>
      <c r="R9" s="142" cm="1">
        <f t="array" ref="R9">IF(ISERROR(_xlfn.XLOOKUP(R$5,'QB_Funds Analysis raw'!$B$5:$AC$5, _xlfn.XLOOKUP($A9,'QB_Funds Analysis raw'!$A$6:$A$104,'QB_Funds Analysis raw'!$B$6:$AC$104))),0,(_xlfn.XLOOKUP(R$5,'QB_Funds Analysis raw'!$B$5:$AC$5, _xlfn.XLOOKUP($A9,'QB_Funds Analysis raw'!$A$6:$A$104,'QB_Funds Analysis raw'!$B$6:$AC$104))))</f>
        <v>0</v>
      </c>
      <c r="S9" s="142" cm="1">
        <f t="array" ref="S9">IF(ISERROR(_xlfn.XLOOKUP(S$5,'QB_Funds Analysis raw'!$B$5:$AC$5, _xlfn.XLOOKUP($A9,'QB_Funds Analysis raw'!$A$6:$A$104,'QB_Funds Analysis raw'!$B$6:$AC$104))),0,(_xlfn.XLOOKUP(S$5,'QB_Funds Analysis raw'!$B$5:$AC$5, _xlfn.XLOOKUP($A9,'QB_Funds Analysis raw'!$A$6:$A$104,'QB_Funds Analysis raw'!$B$6:$AC$104))))</f>
        <v>0</v>
      </c>
      <c r="T9" s="142" cm="1">
        <f t="array" ref="T9">IF(ISERROR(_xlfn.XLOOKUP(T$5,'QB_Funds Analysis raw'!$B$5:$AC$5, _xlfn.XLOOKUP($A9,'QB_Funds Analysis raw'!$A$6:$A$104,'QB_Funds Analysis raw'!$B$6:$AC$104))),0,(_xlfn.XLOOKUP(T$5,'QB_Funds Analysis raw'!$B$5:$AC$5, _xlfn.XLOOKUP($A9,'QB_Funds Analysis raw'!$A$6:$A$104,'QB_Funds Analysis raw'!$B$6:$AC$104))))</f>
        <v>0</v>
      </c>
      <c r="U9" s="142" cm="1">
        <f t="array" ref="U9">IF(ISERROR(_xlfn.XLOOKUP(U$5,'QB_Funds Analysis raw'!$B$5:$AC$5, _xlfn.XLOOKUP($A9,'QB_Funds Analysis raw'!$A$6:$A$104,'QB_Funds Analysis raw'!$B$6:$AC$104))),0,(_xlfn.XLOOKUP(U$5,'QB_Funds Analysis raw'!$B$5:$AC$5, _xlfn.XLOOKUP($A9,'QB_Funds Analysis raw'!$A$6:$A$104,'QB_Funds Analysis raw'!$B$6:$AC$104))))</f>
        <v>0</v>
      </c>
      <c r="V9" s="142" cm="1">
        <f t="array" ref="V9">IF(ISERROR(_xlfn.XLOOKUP(V$5,'QB_Funds Analysis raw'!$B$5:$AC$5, _xlfn.XLOOKUP($A9,'QB_Funds Analysis raw'!$A$6:$A$104,'QB_Funds Analysis raw'!$B$6:$AC$104))),0,(_xlfn.XLOOKUP(V$5,'QB_Funds Analysis raw'!$B$5:$AC$5, _xlfn.XLOOKUP($A9,'QB_Funds Analysis raw'!$A$6:$A$104,'QB_Funds Analysis raw'!$B$6:$AC$104))))</f>
        <v>0</v>
      </c>
      <c r="W9" s="142" cm="1">
        <f t="array" ref="W9">IF(ISERROR(_xlfn.XLOOKUP(W$5,'QB_Funds Analysis raw'!$B$5:$AC$5, _xlfn.XLOOKUP($A9,'QB_Funds Analysis raw'!$A$6:$A$104,'QB_Funds Analysis raw'!$B$6:$AC$104))),0,(_xlfn.XLOOKUP(W$5,'QB_Funds Analysis raw'!$B$5:$AC$5, _xlfn.XLOOKUP($A9,'QB_Funds Analysis raw'!$A$6:$A$104,'QB_Funds Analysis raw'!$B$6:$AC$104))))</f>
        <v>2000</v>
      </c>
      <c r="X9" s="142" cm="1">
        <f t="array" ref="X9">IF(ISERROR(_xlfn.XLOOKUP(X$5,'QB_Funds Analysis raw'!$B$5:$AC$5, _xlfn.XLOOKUP($A9,'QB_Funds Analysis raw'!$A$6:$A$104,'QB_Funds Analysis raw'!$B$6:$AC$104))),0,(_xlfn.XLOOKUP(X$5,'QB_Funds Analysis raw'!$B$5:$AC$5, _xlfn.XLOOKUP($A9,'QB_Funds Analysis raw'!$A$6:$A$104,'QB_Funds Analysis raw'!$B$6:$AC$104))))</f>
        <v>0</v>
      </c>
      <c r="Y9" s="142" cm="1">
        <f t="array" ref="Y9">IF(ISERROR(_xlfn.XLOOKUP(Y$5,'QB_Funds Analysis raw'!$B$5:$AC$5, _xlfn.XLOOKUP($A9,'QB_Funds Analysis raw'!$A$6:$A$104,'QB_Funds Analysis raw'!$B$6:$AC$104))),0,(_xlfn.XLOOKUP(Y$5,'QB_Funds Analysis raw'!$B$5:$AC$5, _xlfn.XLOOKUP($A9,'QB_Funds Analysis raw'!$A$6:$A$104,'QB_Funds Analysis raw'!$B$6:$AC$104))))</f>
        <v>45</v>
      </c>
      <c r="Z9" s="142" cm="1">
        <f t="array" ref="Z9">IF(ISERROR(_xlfn.XLOOKUP(Z$5,'QB_Funds Analysis raw'!$B$5:$AC$5, _xlfn.XLOOKUP($A9,'QB_Funds Analysis raw'!$A$6:$A$104,'QB_Funds Analysis raw'!$B$6:$AC$104))),0,(_xlfn.XLOOKUP(Z$5,'QB_Funds Analysis raw'!$B$5:$AC$5, _xlfn.XLOOKUP($A9,'QB_Funds Analysis raw'!$A$6:$A$104,'QB_Funds Analysis raw'!$B$6:$AC$104))))</f>
        <v>0</v>
      </c>
      <c r="AA9" s="142" cm="1">
        <f t="array" ref="AA9">IF(ISERROR(_xlfn.XLOOKUP(AA$5,'QB_Funds Analysis raw'!$B$5:$AC$5, _xlfn.XLOOKUP($A9,'QB_Funds Analysis raw'!$A$6:$A$104,'QB_Funds Analysis raw'!$B$6:$AC$104))),0,(_xlfn.XLOOKUP(AA$5,'QB_Funds Analysis raw'!$B$5:$AC$5, _xlfn.XLOOKUP($A9,'QB_Funds Analysis raw'!$A$6:$A$104,'QB_Funds Analysis raw'!$B$6:$AC$104))))</f>
        <v>0</v>
      </c>
      <c r="AB9" s="142" cm="1">
        <f t="array" ref="AB9">IF(ISERROR(_xlfn.XLOOKUP(AB$5,'QB_Funds Analysis raw'!$B$5:$AC$5, _xlfn.XLOOKUP($A9,'QB_Funds Analysis raw'!$A$6:$A$104,'QB_Funds Analysis raw'!$B$6:$AC$104))),0,(_xlfn.XLOOKUP(AB$5,'QB_Funds Analysis raw'!$B$5:$AC$5, _xlfn.XLOOKUP($A9,'QB_Funds Analysis raw'!$A$6:$A$104,'QB_Funds Analysis raw'!$B$6:$AC$104))))</f>
        <v>2409.6799999999998</v>
      </c>
      <c r="AC9" s="142" cm="1">
        <f t="array" ref="AC9">IF(ISERROR(_xlfn.XLOOKUP(AC$5,'QB_Funds Analysis raw'!$B$5:$AC$5, _xlfn.XLOOKUP($A9,'QB_Funds Analysis raw'!$A$6:$A$104,'QB_Funds Analysis raw'!$B$6:$AC$104))),0,(_xlfn.XLOOKUP(AC$5,'QB_Funds Analysis raw'!$B$5:$AC$5, _xlfn.XLOOKUP($A9,'QB_Funds Analysis raw'!$A$6:$A$104,'QB_Funds Analysis raw'!$B$6:$AC$104))))</f>
        <v>5386.67</v>
      </c>
      <c r="AD9" s="167">
        <f t="shared" si="0"/>
        <v>5386.67</v>
      </c>
      <c r="AE9" s="167">
        <f>AD9-AC9</f>
        <v>0</v>
      </c>
    </row>
    <row r="10" spans="1:31" ht="20.25" customHeight="1" x14ac:dyDescent="0.25">
      <c r="A10" s="134" t="s">
        <v>21</v>
      </c>
      <c r="B10" s="151">
        <f t="shared" ref="B10" si="2">((B7)+(B8))+(B9)</f>
        <v>0</v>
      </c>
      <c r="C10" s="151">
        <f t="shared" ref="C10:AC10" si="3">((C7)+(C8))+(C9)</f>
        <v>0</v>
      </c>
      <c r="D10" s="253">
        <f t="shared" si="3"/>
        <v>0</v>
      </c>
      <c r="E10" s="151">
        <f t="shared" si="3"/>
        <v>0</v>
      </c>
      <c r="F10" s="151">
        <f t="shared" si="3"/>
        <v>0</v>
      </c>
      <c r="G10" s="151">
        <f t="shared" si="3"/>
        <v>0</v>
      </c>
      <c r="H10" s="151">
        <f t="shared" si="3"/>
        <v>0</v>
      </c>
      <c r="I10" s="151">
        <f t="shared" si="3"/>
        <v>0</v>
      </c>
      <c r="J10" s="151">
        <f t="shared" si="3"/>
        <v>400</v>
      </c>
      <c r="K10" s="253">
        <f t="shared" si="3"/>
        <v>112.8</v>
      </c>
      <c r="L10" s="151">
        <f t="shared" si="3"/>
        <v>2000</v>
      </c>
      <c r="M10" s="151">
        <f t="shared" si="3"/>
        <v>0</v>
      </c>
      <c r="N10" s="253">
        <f t="shared" si="3"/>
        <v>0</v>
      </c>
      <c r="O10" s="253">
        <f t="shared" si="3"/>
        <v>205</v>
      </c>
      <c r="P10" s="151">
        <f t="shared" si="3"/>
        <v>0</v>
      </c>
      <c r="Q10" s="244">
        <f t="shared" si="3"/>
        <v>2976.99</v>
      </c>
      <c r="R10" s="151">
        <f t="shared" si="3"/>
        <v>0</v>
      </c>
      <c r="S10" s="151">
        <f t="shared" si="3"/>
        <v>0</v>
      </c>
      <c r="T10" s="151">
        <f t="shared" si="3"/>
        <v>0</v>
      </c>
      <c r="U10" s="151">
        <f t="shared" si="3"/>
        <v>0</v>
      </c>
      <c r="V10" s="151">
        <f t="shared" si="3"/>
        <v>0</v>
      </c>
      <c r="W10" s="151">
        <f t="shared" si="3"/>
        <v>2000</v>
      </c>
      <c r="X10" s="151">
        <f t="shared" si="3"/>
        <v>0</v>
      </c>
      <c r="Y10" s="151">
        <f t="shared" si="3"/>
        <v>45</v>
      </c>
      <c r="Z10" s="151">
        <f t="shared" si="3"/>
        <v>0</v>
      </c>
      <c r="AA10" s="151">
        <f t="shared" si="3"/>
        <v>0</v>
      </c>
      <c r="AB10" s="151">
        <f t="shared" si="3"/>
        <v>2409.6799999999998</v>
      </c>
      <c r="AC10" s="151">
        <f t="shared" si="3"/>
        <v>5386.67</v>
      </c>
      <c r="AD10" s="167">
        <f t="shared" si="0"/>
        <v>5386.67</v>
      </c>
      <c r="AE10" s="167">
        <f t="shared" ref="AE10:AE73" si="4">AD10-AC10</f>
        <v>0</v>
      </c>
    </row>
    <row r="11" spans="1:31" ht="20.25" customHeight="1" x14ac:dyDescent="0.25">
      <c r="A11" s="2" t="s">
        <v>22</v>
      </c>
      <c r="B11" s="142" cm="1">
        <f t="array" ref="B11">IF(ISERROR(_xlfn.XLOOKUP(B$5,'QB_Funds Analysis raw'!$B$5:$AC$5, _xlfn.XLOOKUP($A11,'QB_Funds Analysis raw'!$A$6:$A$104,'QB_Funds Analysis raw'!$B$6:$AC$104))),0,(_xlfn.XLOOKUP(B$5,'QB_Funds Analysis raw'!$B$5:$AC$5, _xlfn.XLOOKUP($A11,'QB_Funds Analysis raw'!$A$6:$A$104,'QB_Funds Analysis raw'!$B$6:$AC$104))))</f>
        <v>0</v>
      </c>
      <c r="C11" s="142" cm="1">
        <f t="array" ref="C11">IF(ISERROR(_xlfn.XLOOKUP(C$5,'QB_Funds Analysis raw'!$B$5:$AC$5, _xlfn.XLOOKUP($A11,'QB_Funds Analysis raw'!$A$6:$A$104,'QB_Funds Analysis raw'!$B$6:$AC$104))),0,(_xlfn.XLOOKUP(C$5,'QB_Funds Analysis raw'!$B$5:$AC$5, _xlfn.XLOOKUP($A11,'QB_Funds Analysis raw'!$A$6:$A$104,'QB_Funds Analysis raw'!$B$6:$AC$104))))</f>
        <v>0</v>
      </c>
      <c r="D11" s="252" cm="1">
        <f t="array" ref="D11">IF(ISERROR(_xlfn.XLOOKUP(D$5,'QB_Funds Analysis raw'!$B$5:$AC$5, _xlfn.XLOOKUP($A11,'QB_Funds Analysis raw'!$A$6:$A$104,'QB_Funds Analysis raw'!$B$6:$AC$104))),0,(_xlfn.XLOOKUP(D$5,'QB_Funds Analysis raw'!$B$5:$AC$5, _xlfn.XLOOKUP($A11,'QB_Funds Analysis raw'!$A$6:$A$104,'QB_Funds Analysis raw'!$B$6:$AC$104))))</f>
        <v>0</v>
      </c>
      <c r="E11" s="142" cm="1">
        <f t="array" ref="E11">IF(ISERROR(_xlfn.XLOOKUP(E$5,'QB_Funds Analysis raw'!$B$5:$AC$5, _xlfn.XLOOKUP($A11,'QB_Funds Analysis raw'!$A$6:$A$104,'QB_Funds Analysis raw'!$B$6:$AC$104))),0,(_xlfn.XLOOKUP(E$5,'QB_Funds Analysis raw'!$B$5:$AC$5, _xlfn.XLOOKUP($A11,'QB_Funds Analysis raw'!$A$6:$A$104,'QB_Funds Analysis raw'!$B$6:$AC$104))))</f>
        <v>0</v>
      </c>
      <c r="F11" s="142" cm="1">
        <f t="array" ref="F11">IF(ISERROR(_xlfn.XLOOKUP(F$5,'QB_Funds Analysis raw'!$B$5:$AC$5, _xlfn.XLOOKUP($A11,'QB_Funds Analysis raw'!$A$6:$A$104,'QB_Funds Analysis raw'!$B$6:$AC$104))),0,(_xlfn.XLOOKUP(F$5,'QB_Funds Analysis raw'!$B$5:$AC$5, _xlfn.XLOOKUP($A11,'QB_Funds Analysis raw'!$A$6:$A$104,'QB_Funds Analysis raw'!$B$6:$AC$104))))</f>
        <v>0</v>
      </c>
      <c r="G11" s="142" cm="1">
        <f t="array" ref="G11">IF(ISERROR(_xlfn.XLOOKUP(G$5,'QB_Funds Analysis raw'!$B$5:$AC$5, _xlfn.XLOOKUP($A11,'QB_Funds Analysis raw'!$A$6:$A$104,'QB_Funds Analysis raw'!$B$6:$AC$104))),0,(_xlfn.XLOOKUP(G$5,'QB_Funds Analysis raw'!$B$5:$AC$5, _xlfn.XLOOKUP($A11,'QB_Funds Analysis raw'!$A$6:$A$104,'QB_Funds Analysis raw'!$B$6:$AC$104))))</f>
        <v>0</v>
      </c>
      <c r="H11" s="142" cm="1">
        <f t="array" ref="H11">IF(ISERROR(_xlfn.XLOOKUP(H$5,'QB_Funds Analysis raw'!$B$5:$AC$5, _xlfn.XLOOKUP($A11,'QB_Funds Analysis raw'!$A$6:$A$104,'QB_Funds Analysis raw'!$B$6:$AC$104))),0,(_xlfn.XLOOKUP(H$5,'QB_Funds Analysis raw'!$B$5:$AC$5, _xlfn.XLOOKUP($A11,'QB_Funds Analysis raw'!$A$6:$A$104,'QB_Funds Analysis raw'!$B$6:$AC$104))))</f>
        <v>0</v>
      </c>
      <c r="I11" s="142" cm="1">
        <f t="array" ref="I11">IF(ISERROR(_xlfn.XLOOKUP(I$5,'QB_Funds Analysis raw'!$B$5:$AC$5, _xlfn.XLOOKUP($A11,'QB_Funds Analysis raw'!$A$6:$A$104,'QB_Funds Analysis raw'!$B$6:$AC$104))),0,(_xlfn.XLOOKUP(I$5,'QB_Funds Analysis raw'!$B$5:$AC$5, _xlfn.XLOOKUP($A11,'QB_Funds Analysis raw'!$A$6:$A$104,'QB_Funds Analysis raw'!$B$6:$AC$104))))</f>
        <v>0</v>
      </c>
      <c r="J11" s="142" cm="1">
        <f t="array" ref="J11">IF(ISERROR(_xlfn.XLOOKUP(J$5,'QB_Funds Analysis raw'!$B$5:$AC$5, _xlfn.XLOOKUP($A11,'QB_Funds Analysis raw'!$A$6:$A$104,'QB_Funds Analysis raw'!$B$6:$AC$104))),0,(_xlfn.XLOOKUP(J$5,'QB_Funds Analysis raw'!$B$5:$AC$5, _xlfn.XLOOKUP($A11,'QB_Funds Analysis raw'!$A$6:$A$104,'QB_Funds Analysis raw'!$B$6:$AC$104))))</f>
        <v>0</v>
      </c>
      <c r="K11" s="252" cm="1">
        <f t="array" ref="K11">IF(ISERROR(_xlfn.XLOOKUP(K$5,'QB_Funds Analysis raw'!$B$5:$AC$5, _xlfn.XLOOKUP($A11,'QB_Funds Analysis raw'!$A$6:$A$104,'QB_Funds Analysis raw'!$B$6:$AC$104))),0,(_xlfn.XLOOKUP(K$5,'QB_Funds Analysis raw'!$B$5:$AC$5, _xlfn.XLOOKUP($A11,'QB_Funds Analysis raw'!$A$6:$A$104,'QB_Funds Analysis raw'!$B$6:$AC$104))))</f>
        <v>0</v>
      </c>
      <c r="L11" s="142" cm="1">
        <f t="array" ref="L11">IF(ISERROR(_xlfn.XLOOKUP(L$5,'QB_Funds Analysis raw'!$B$5:$AC$5, _xlfn.XLOOKUP($A11,'QB_Funds Analysis raw'!$A$6:$A$104,'QB_Funds Analysis raw'!$B$6:$AC$104))),0,(_xlfn.XLOOKUP(L$5,'QB_Funds Analysis raw'!$B$5:$AC$5, _xlfn.XLOOKUP($A11,'QB_Funds Analysis raw'!$A$6:$A$104,'QB_Funds Analysis raw'!$B$6:$AC$104))))</f>
        <v>0</v>
      </c>
      <c r="M11" s="142" cm="1">
        <f t="array" ref="M11">IF(ISERROR(_xlfn.XLOOKUP(M$5,'QB_Funds Analysis raw'!$B$5:$AC$5, _xlfn.XLOOKUP($A11,'QB_Funds Analysis raw'!$A$6:$A$104,'QB_Funds Analysis raw'!$B$6:$AC$104))),0,(_xlfn.XLOOKUP(M$5,'QB_Funds Analysis raw'!$B$5:$AC$5, _xlfn.XLOOKUP($A11,'QB_Funds Analysis raw'!$A$6:$A$104,'QB_Funds Analysis raw'!$B$6:$AC$104))))</f>
        <v>0</v>
      </c>
      <c r="N11" s="252" cm="1">
        <f t="array" ref="N11">IF(ISERROR(_xlfn.XLOOKUP(N$5,'QB_Funds Analysis raw'!$B$5:$AC$5, _xlfn.XLOOKUP($A11,'QB_Funds Analysis raw'!$A$6:$A$104,'QB_Funds Analysis raw'!$B$6:$AC$104))),0,(_xlfn.XLOOKUP(N$5,'QB_Funds Analysis raw'!$B$5:$AC$5, _xlfn.XLOOKUP($A11,'QB_Funds Analysis raw'!$A$6:$A$104,'QB_Funds Analysis raw'!$B$6:$AC$104))))</f>
        <v>0</v>
      </c>
      <c r="O11" s="252" cm="1">
        <f t="array" ref="O11">IF(ISERROR(_xlfn.XLOOKUP(O$5,'QB_Funds Analysis raw'!$B$5:$AC$5, _xlfn.XLOOKUP($A11,'QB_Funds Analysis raw'!$A$6:$A$104,'QB_Funds Analysis raw'!$B$6:$AC$104))),0,(_xlfn.XLOOKUP(O$5,'QB_Funds Analysis raw'!$B$5:$AC$5, _xlfn.XLOOKUP($A11,'QB_Funds Analysis raw'!$A$6:$A$104,'QB_Funds Analysis raw'!$B$6:$AC$104))))</f>
        <v>227.91</v>
      </c>
      <c r="P11" s="142" cm="1">
        <f t="array" ref="P11">IF(ISERROR(_xlfn.XLOOKUP(P$5,'QB_Funds Analysis raw'!$B$5:$AC$5, _xlfn.XLOOKUP($A11,'QB_Funds Analysis raw'!$A$6:$A$104,'QB_Funds Analysis raw'!$B$6:$AC$104))),0,(_xlfn.XLOOKUP(P$5,'QB_Funds Analysis raw'!$B$5:$AC$5, _xlfn.XLOOKUP($A11,'QB_Funds Analysis raw'!$A$6:$A$104,'QB_Funds Analysis raw'!$B$6:$AC$104))))</f>
        <v>0</v>
      </c>
      <c r="Q11" s="247" cm="1">
        <f t="array" ref="Q11">IF(ISERROR(_xlfn.XLOOKUP(Q$5,'QB_Funds Analysis raw'!$B$5:$AC$5, _xlfn.XLOOKUP($A11,'QB_Funds Analysis raw'!$A$6:$A$104,'QB_Funds Analysis raw'!$B$6:$AC$104))),0,(_xlfn.XLOOKUP(Q$5,'QB_Funds Analysis raw'!$B$5:$AC$5, _xlfn.XLOOKUP($A11,'QB_Funds Analysis raw'!$A$6:$A$104,'QB_Funds Analysis raw'!$B$6:$AC$104))))</f>
        <v>227.91</v>
      </c>
      <c r="R11" s="142" cm="1">
        <f t="array" ref="R11">IF(ISERROR(_xlfn.XLOOKUP(R$5,'QB_Funds Analysis raw'!$B$5:$AC$5, _xlfn.XLOOKUP($A11,'QB_Funds Analysis raw'!$A$6:$A$104,'QB_Funds Analysis raw'!$B$6:$AC$104))),0,(_xlfn.XLOOKUP(R$5,'QB_Funds Analysis raw'!$B$5:$AC$5, _xlfn.XLOOKUP($A11,'QB_Funds Analysis raw'!$A$6:$A$104,'QB_Funds Analysis raw'!$B$6:$AC$104))))</f>
        <v>0</v>
      </c>
      <c r="S11" s="142" cm="1">
        <f t="array" ref="S11">IF(ISERROR(_xlfn.XLOOKUP(S$5,'QB_Funds Analysis raw'!$B$5:$AC$5, _xlfn.XLOOKUP($A11,'QB_Funds Analysis raw'!$A$6:$A$104,'QB_Funds Analysis raw'!$B$6:$AC$104))),0,(_xlfn.XLOOKUP(S$5,'QB_Funds Analysis raw'!$B$5:$AC$5, _xlfn.XLOOKUP($A11,'QB_Funds Analysis raw'!$A$6:$A$104,'QB_Funds Analysis raw'!$B$6:$AC$104))))</f>
        <v>0</v>
      </c>
      <c r="T11" s="142" cm="1">
        <f t="array" ref="T11">IF(ISERROR(_xlfn.XLOOKUP(T$5,'QB_Funds Analysis raw'!$B$5:$AC$5, _xlfn.XLOOKUP($A11,'QB_Funds Analysis raw'!$A$6:$A$104,'QB_Funds Analysis raw'!$B$6:$AC$104))),0,(_xlfn.XLOOKUP(T$5,'QB_Funds Analysis raw'!$B$5:$AC$5, _xlfn.XLOOKUP($A11,'QB_Funds Analysis raw'!$A$6:$A$104,'QB_Funds Analysis raw'!$B$6:$AC$104))))</f>
        <v>0</v>
      </c>
      <c r="U11" s="142" cm="1">
        <f t="array" ref="U11">IF(ISERROR(_xlfn.XLOOKUP(U$5,'QB_Funds Analysis raw'!$B$5:$AC$5, _xlfn.XLOOKUP($A11,'QB_Funds Analysis raw'!$A$6:$A$104,'QB_Funds Analysis raw'!$B$6:$AC$104))),0,(_xlfn.XLOOKUP(U$5,'QB_Funds Analysis raw'!$B$5:$AC$5, _xlfn.XLOOKUP($A11,'QB_Funds Analysis raw'!$A$6:$A$104,'QB_Funds Analysis raw'!$B$6:$AC$104))))</f>
        <v>0</v>
      </c>
      <c r="V11" s="142" cm="1">
        <f t="array" ref="V11">IF(ISERROR(_xlfn.XLOOKUP(V$5,'QB_Funds Analysis raw'!$B$5:$AC$5, _xlfn.XLOOKUP($A11,'QB_Funds Analysis raw'!$A$6:$A$104,'QB_Funds Analysis raw'!$B$6:$AC$104))),0,(_xlfn.XLOOKUP(V$5,'QB_Funds Analysis raw'!$B$5:$AC$5, _xlfn.XLOOKUP($A11,'QB_Funds Analysis raw'!$A$6:$A$104,'QB_Funds Analysis raw'!$B$6:$AC$104))))</f>
        <v>0</v>
      </c>
      <c r="W11" s="142" cm="1">
        <f t="array" ref="W11">IF(ISERROR(_xlfn.XLOOKUP(W$5,'QB_Funds Analysis raw'!$B$5:$AC$5, _xlfn.XLOOKUP($A11,'QB_Funds Analysis raw'!$A$6:$A$104,'QB_Funds Analysis raw'!$B$6:$AC$104))),0,(_xlfn.XLOOKUP(W$5,'QB_Funds Analysis raw'!$B$5:$AC$5, _xlfn.XLOOKUP($A11,'QB_Funds Analysis raw'!$A$6:$A$104,'QB_Funds Analysis raw'!$B$6:$AC$104))))</f>
        <v>0</v>
      </c>
      <c r="X11" s="142" cm="1">
        <f t="array" ref="X11">IF(ISERROR(_xlfn.XLOOKUP(X$5,'QB_Funds Analysis raw'!$B$5:$AC$5, _xlfn.XLOOKUP($A11,'QB_Funds Analysis raw'!$A$6:$A$104,'QB_Funds Analysis raw'!$B$6:$AC$104))),0,(_xlfn.XLOOKUP(X$5,'QB_Funds Analysis raw'!$B$5:$AC$5, _xlfn.XLOOKUP($A11,'QB_Funds Analysis raw'!$A$6:$A$104,'QB_Funds Analysis raw'!$B$6:$AC$104))))</f>
        <v>0</v>
      </c>
      <c r="Y11" s="142" cm="1">
        <f t="array" ref="Y11">IF(ISERROR(_xlfn.XLOOKUP(Y$5,'QB_Funds Analysis raw'!$B$5:$AC$5, _xlfn.XLOOKUP($A11,'QB_Funds Analysis raw'!$A$6:$A$104,'QB_Funds Analysis raw'!$B$6:$AC$104))),0,(_xlfn.XLOOKUP(Y$5,'QB_Funds Analysis raw'!$B$5:$AC$5, _xlfn.XLOOKUP($A11,'QB_Funds Analysis raw'!$A$6:$A$104,'QB_Funds Analysis raw'!$B$6:$AC$104))))</f>
        <v>0</v>
      </c>
      <c r="Z11" s="142" cm="1">
        <f t="array" ref="Z11">IF(ISERROR(_xlfn.XLOOKUP(Z$5,'QB_Funds Analysis raw'!$B$5:$AC$5, _xlfn.XLOOKUP($A11,'QB_Funds Analysis raw'!$A$6:$A$104,'QB_Funds Analysis raw'!$B$6:$AC$104))),0,(_xlfn.XLOOKUP(Z$5,'QB_Funds Analysis raw'!$B$5:$AC$5, _xlfn.XLOOKUP($A11,'QB_Funds Analysis raw'!$A$6:$A$104,'QB_Funds Analysis raw'!$B$6:$AC$104))))</f>
        <v>0</v>
      </c>
      <c r="AA11" s="142" cm="1">
        <f t="array" ref="AA11">IF(ISERROR(_xlfn.XLOOKUP(AA$5,'QB_Funds Analysis raw'!$B$5:$AC$5, _xlfn.XLOOKUP($A11,'QB_Funds Analysis raw'!$A$6:$A$104,'QB_Funds Analysis raw'!$B$6:$AC$104))),0,(_xlfn.XLOOKUP(AA$5,'QB_Funds Analysis raw'!$B$5:$AC$5, _xlfn.XLOOKUP($A11,'QB_Funds Analysis raw'!$A$6:$A$104,'QB_Funds Analysis raw'!$B$6:$AC$104))))</f>
        <v>0</v>
      </c>
      <c r="AB11" s="142" cm="1">
        <f t="array" ref="AB11">IF(ISERROR(_xlfn.XLOOKUP(AB$5,'QB_Funds Analysis raw'!$B$5:$AC$5, _xlfn.XLOOKUP($A11,'QB_Funds Analysis raw'!$A$6:$A$104,'QB_Funds Analysis raw'!$B$6:$AC$104))),0,(_xlfn.XLOOKUP(AB$5,'QB_Funds Analysis raw'!$B$5:$AC$5, _xlfn.XLOOKUP($A11,'QB_Funds Analysis raw'!$A$6:$A$104,'QB_Funds Analysis raw'!$B$6:$AC$104))))</f>
        <v>122.99</v>
      </c>
      <c r="AC11" s="142" cm="1">
        <f t="array" ref="AC11">IF(ISERROR(_xlfn.XLOOKUP(AC$5,'QB_Funds Analysis raw'!$B$5:$AC$5, _xlfn.XLOOKUP($A11,'QB_Funds Analysis raw'!$A$6:$A$104,'QB_Funds Analysis raw'!$B$6:$AC$104))),0,(_xlfn.XLOOKUP(AC$5,'QB_Funds Analysis raw'!$B$5:$AC$5, _xlfn.XLOOKUP($A11,'QB_Funds Analysis raw'!$A$6:$A$104,'QB_Funds Analysis raw'!$B$6:$AC$104))))</f>
        <v>350.9</v>
      </c>
      <c r="AD11" s="167">
        <f t="shared" si="0"/>
        <v>350.9</v>
      </c>
      <c r="AE11" s="167">
        <f t="shared" si="4"/>
        <v>0</v>
      </c>
    </row>
    <row r="12" spans="1:31" ht="20.25" customHeight="1" x14ac:dyDescent="0.25">
      <c r="A12" s="2" t="s">
        <v>23</v>
      </c>
      <c r="B12" s="142" cm="1">
        <f t="array" ref="B12">IF(ISERROR(_xlfn.XLOOKUP(B$5,'QB_Funds Analysis raw'!$B$5:$AC$5, _xlfn.XLOOKUP($A12,'QB_Funds Analysis raw'!$A$6:$A$104,'QB_Funds Analysis raw'!$B$6:$AC$104))),0,(_xlfn.XLOOKUP(B$5,'QB_Funds Analysis raw'!$B$5:$AC$5, _xlfn.XLOOKUP($A12,'QB_Funds Analysis raw'!$A$6:$A$104,'QB_Funds Analysis raw'!$B$6:$AC$104))))</f>
        <v>0</v>
      </c>
      <c r="C12" s="142" cm="1">
        <f t="array" ref="C12">IF(ISERROR(_xlfn.XLOOKUP(C$5,'QB_Funds Analysis raw'!$B$5:$AC$5, _xlfn.XLOOKUP($A12,'QB_Funds Analysis raw'!$A$6:$A$104,'QB_Funds Analysis raw'!$B$6:$AC$104))),0,(_xlfn.XLOOKUP(C$5,'QB_Funds Analysis raw'!$B$5:$AC$5, _xlfn.XLOOKUP($A12,'QB_Funds Analysis raw'!$A$6:$A$104,'QB_Funds Analysis raw'!$B$6:$AC$104))))</f>
        <v>0</v>
      </c>
      <c r="D12" s="252" cm="1">
        <f t="array" ref="D12">IF(ISERROR(_xlfn.XLOOKUP(D$5,'QB_Funds Analysis raw'!$B$5:$AC$5, _xlfn.XLOOKUP($A12,'QB_Funds Analysis raw'!$A$6:$A$104,'QB_Funds Analysis raw'!$B$6:$AC$104))),0,(_xlfn.XLOOKUP(D$5,'QB_Funds Analysis raw'!$B$5:$AC$5, _xlfn.XLOOKUP($A12,'QB_Funds Analysis raw'!$A$6:$A$104,'QB_Funds Analysis raw'!$B$6:$AC$104))))</f>
        <v>0</v>
      </c>
      <c r="E12" s="142" cm="1">
        <f t="array" ref="E12">IF(ISERROR(_xlfn.XLOOKUP(E$5,'QB_Funds Analysis raw'!$B$5:$AC$5, _xlfn.XLOOKUP($A12,'QB_Funds Analysis raw'!$A$6:$A$104,'QB_Funds Analysis raw'!$B$6:$AC$104))),0,(_xlfn.XLOOKUP(E$5,'QB_Funds Analysis raw'!$B$5:$AC$5, _xlfn.XLOOKUP($A12,'QB_Funds Analysis raw'!$A$6:$A$104,'QB_Funds Analysis raw'!$B$6:$AC$104))))</f>
        <v>0</v>
      </c>
      <c r="F12" s="142" cm="1">
        <f t="array" ref="F12">IF(ISERROR(_xlfn.XLOOKUP(F$5,'QB_Funds Analysis raw'!$B$5:$AC$5, _xlfn.XLOOKUP($A12,'QB_Funds Analysis raw'!$A$6:$A$104,'QB_Funds Analysis raw'!$B$6:$AC$104))),0,(_xlfn.XLOOKUP(F$5,'QB_Funds Analysis raw'!$B$5:$AC$5, _xlfn.XLOOKUP($A12,'QB_Funds Analysis raw'!$A$6:$A$104,'QB_Funds Analysis raw'!$B$6:$AC$104))))</f>
        <v>0</v>
      </c>
      <c r="G12" s="142" cm="1">
        <f t="array" ref="G12">IF(ISERROR(_xlfn.XLOOKUP(G$5,'QB_Funds Analysis raw'!$B$5:$AC$5, _xlfn.XLOOKUP($A12,'QB_Funds Analysis raw'!$A$6:$A$104,'QB_Funds Analysis raw'!$B$6:$AC$104))),0,(_xlfn.XLOOKUP(G$5,'QB_Funds Analysis raw'!$B$5:$AC$5, _xlfn.XLOOKUP($A12,'QB_Funds Analysis raw'!$A$6:$A$104,'QB_Funds Analysis raw'!$B$6:$AC$104))))</f>
        <v>0</v>
      </c>
      <c r="H12" s="142" cm="1">
        <f t="array" ref="H12">IF(ISERROR(_xlfn.XLOOKUP(H$5,'QB_Funds Analysis raw'!$B$5:$AC$5, _xlfn.XLOOKUP($A12,'QB_Funds Analysis raw'!$A$6:$A$104,'QB_Funds Analysis raw'!$B$6:$AC$104))),0,(_xlfn.XLOOKUP(H$5,'QB_Funds Analysis raw'!$B$5:$AC$5, _xlfn.XLOOKUP($A12,'QB_Funds Analysis raw'!$A$6:$A$104,'QB_Funds Analysis raw'!$B$6:$AC$104))))</f>
        <v>165</v>
      </c>
      <c r="I12" s="142" cm="1">
        <f t="array" ref="I12">IF(ISERROR(_xlfn.XLOOKUP(I$5,'QB_Funds Analysis raw'!$B$5:$AC$5, _xlfn.XLOOKUP($A12,'QB_Funds Analysis raw'!$A$6:$A$104,'QB_Funds Analysis raw'!$B$6:$AC$104))),0,(_xlfn.XLOOKUP(I$5,'QB_Funds Analysis raw'!$B$5:$AC$5, _xlfn.XLOOKUP($A12,'QB_Funds Analysis raw'!$A$6:$A$104,'QB_Funds Analysis raw'!$B$6:$AC$104))))</f>
        <v>0</v>
      </c>
      <c r="J12" s="142" cm="1">
        <f t="array" ref="J12">IF(ISERROR(_xlfn.XLOOKUP(J$5,'QB_Funds Analysis raw'!$B$5:$AC$5, _xlfn.XLOOKUP($A12,'QB_Funds Analysis raw'!$A$6:$A$104,'QB_Funds Analysis raw'!$B$6:$AC$104))),0,(_xlfn.XLOOKUP(J$5,'QB_Funds Analysis raw'!$B$5:$AC$5, _xlfn.XLOOKUP($A12,'QB_Funds Analysis raw'!$A$6:$A$104,'QB_Funds Analysis raw'!$B$6:$AC$104))))</f>
        <v>0</v>
      </c>
      <c r="K12" s="252" cm="1">
        <f t="array" ref="K12">IF(ISERROR(_xlfn.XLOOKUP(K$5,'QB_Funds Analysis raw'!$B$5:$AC$5, _xlfn.XLOOKUP($A12,'QB_Funds Analysis raw'!$A$6:$A$104,'QB_Funds Analysis raw'!$B$6:$AC$104))),0,(_xlfn.XLOOKUP(K$5,'QB_Funds Analysis raw'!$B$5:$AC$5, _xlfn.XLOOKUP($A12,'QB_Funds Analysis raw'!$A$6:$A$104,'QB_Funds Analysis raw'!$B$6:$AC$104))))</f>
        <v>0</v>
      </c>
      <c r="L12" s="142" cm="1">
        <f t="array" ref="L12">IF(ISERROR(_xlfn.XLOOKUP(L$5,'QB_Funds Analysis raw'!$B$5:$AC$5, _xlfn.XLOOKUP($A12,'QB_Funds Analysis raw'!$A$6:$A$104,'QB_Funds Analysis raw'!$B$6:$AC$104))),0,(_xlfn.XLOOKUP(L$5,'QB_Funds Analysis raw'!$B$5:$AC$5, _xlfn.XLOOKUP($A12,'QB_Funds Analysis raw'!$A$6:$A$104,'QB_Funds Analysis raw'!$B$6:$AC$104))))</f>
        <v>0</v>
      </c>
      <c r="M12" s="142" cm="1">
        <f t="array" ref="M12">IF(ISERROR(_xlfn.XLOOKUP(M$5,'QB_Funds Analysis raw'!$B$5:$AC$5, _xlfn.XLOOKUP($A12,'QB_Funds Analysis raw'!$A$6:$A$104,'QB_Funds Analysis raw'!$B$6:$AC$104))),0,(_xlfn.XLOOKUP(M$5,'QB_Funds Analysis raw'!$B$5:$AC$5, _xlfn.XLOOKUP($A12,'QB_Funds Analysis raw'!$A$6:$A$104,'QB_Funds Analysis raw'!$B$6:$AC$104))))</f>
        <v>0</v>
      </c>
      <c r="N12" s="252" cm="1">
        <f t="array" ref="N12">IF(ISERROR(_xlfn.XLOOKUP(N$5,'QB_Funds Analysis raw'!$B$5:$AC$5, _xlfn.XLOOKUP($A12,'QB_Funds Analysis raw'!$A$6:$A$104,'QB_Funds Analysis raw'!$B$6:$AC$104))),0,(_xlfn.XLOOKUP(N$5,'QB_Funds Analysis raw'!$B$5:$AC$5, _xlfn.XLOOKUP($A12,'QB_Funds Analysis raw'!$A$6:$A$104,'QB_Funds Analysis raw'!$B$6:$AC$104))))</f>
        <v>0</v>
      </c>
      <c r="O12" s="252" cm="1">
        <f t="array" ref="O12">IF(ISERROR(_xlfn.XLOOKUP(O$5,'QB_Funds Analysis raw'!$B$5:$AC$5, _xlfn.XLOOKUP($A12,'QB_Funds Analysis raw'!$A$6:$A$104,'QB_Funds Analysis raw'!$B$6:$AC$104))),0,(_xlfn.XLOOKUP(O$5,'QB_Funds Analysis raw'!$B$5:$AC$5, _xlfn.XLOOKUP($A12,'QB_Funds Analysis raw'!$A$6:$A$104,'QB_Funds Analysis raw'!$B$6:$AC$104))))</f>
        <v>0</v>
      </c>
      <c r="P12" s="142" cm="1">
        <f t="array" ref="P12">IF(ISERROR(_xlfn.XLOOKUP(P$5,'QB_Funds Analysis raw'!$B$5:$AC$5, _xlfn.XLOOKUP($A12,'QB_Funds Analysis raw'!$A$6:$A$104,'QB_Funds Analysis raw'!$B$6:$AC$104))),0,(_xlfn.XLOOKUP(P$5,'QB_Funds Analysis raw'!$B$5:$AC$5, _xlfn.XLOOKUP($A12,'QB_Funds Analysis raw'!$A$6:$A$104,'QB_Funds Analysis raw'!$B$6:$AC$104))))</f>
        <v>0</v>
      </c>
      <c r="Q12" s="247" cm="1">
        <f t="array" ref="Q12">IF(ISERROR(_xlfn.XLOOKUP(Q$5,'QB_Funds Analysis raw'!$B$5:$AC$5, _xlfn.XLOOKUP($A12,'QB_Funds Analysis raw'!$A$6:$A$104,'QB_Funds Analysis raw'!$B$6:$AC$104))),0,(_xlfn.XLOOKUP(Q$5,'QB_Funds Analysis raw'!$B$5:$AC$5, _xlfn.XLOOKUP($A12,'QB_Funds Analysis raw'!$A$6:$A$104,'QB_Funds Analysis raw'!$B$6:$AC$104))))</f>
        <v>0</v>
      </c>
      <c r="R12" s="142" cm="1">
        <f t="array" ref="R12">IF(ISERROR(_xlfn.XLOOKUP(R$5,'QB_Funds Analysis raw'!$B$5:$AC$5, _xlfn.XLOOKUP($A12,'QB_Funds Analysis raw'!$A$6:$A$104,'QB_Funds Analysis raw'!$B$6:$AC$104))),0,(_xlfn.XLOOKUP(R$5,'QB_Funds Analysis raw'!$B$5:$AC$5, _xlfn.XLOOKUP($A12,'QB_Funds Analysis raw'!$A$6:$A$104,'QB_Funds Analysis raw'!$B$6:$AC$104))))</f>
        <v>0</v>
      </c>
      <c r="S12" s="142" cm="1">
        <f t="array" ref="S12">IF(ISERROR(_xlfn.XLOOKUP(S$5,'QB_Funds Analysis raw'!$B$5:$AC$5, _xlfn.XLOOKUP($A12,'QB_Funds Analysis raw'!$A$6:$A$104,'QB_Funds Analysis raw'!$B$6:$AC$104))),0,(_xlfn.XLOOKUP(S$5,'QB_Funds Analysis raw'!$B$5:$AC$5, _xlfn.XLOOKUP($A12,'QB_Funds Analysis raw'!$A$6:$A$104,'QB_Funds Analysis raw'!$B$6:$AC$104))))</f>
        <v>0</v>
      </c>
      <c r="T12" s="142" cm="1">
        <f t="array" ref="T12">IF(ISERROR(_xlfn.XLOOKUP(T$5,'QB_Funds Analysis raw'!$B$5:$AC$5, _xlfn.XLOOKUP($A12,'QB_Funds Analysis raw'!$A$6:$A$104,'QB_Funds Analysis raw'!$B$6:$AC$104))),0,(_xlfn.XLOOKUP(T$5,'QB_Funds Analysis raw'!$B$5:$AC$5, _xlfn.XLOOKUP($A12,'QB_Funds Analysis raw'!$A$6:$A$104,'QB_Funds Analysis raw'!$B$6:$AC$104))))</f>
        <v>0</v>
      </c>
      <c r="U12" s="142" cm="1">
        <f t="array" ref="U12">IF(ISERROR(_xlfn.XLOOKUP(U$5,'QB_Funds Analysis raw'!$B$5:$AC$5, _xlfn.XLOOKUP($A12,'QB_Funds Analysis raw'!$A$6:$A$104,'QB_Funds Analysis raw'!$B$6:$AC$104))),0,(_xlfn.XLOOKUP(U$5,'QB_Funds Analysis raw'!$B$5:$AC$5, _xlfn.XLOOKUP($A12,'QB_Funds Analysis raw'!$A$6:$A$104,'QB_Funds Analysis raw'!$B$6:$AC$104))))</f>
        <v>0</v>
      </c>
      <c r="V12" s="142" cm="1">
        <f t="array" ref="V12">IF(ISERROR(_xlfn.XLOOKUP(V$5,'QB_Funds Analysis raw'!$B$5:$AC$5, _xlfn.XLOOKUP($A12,'QB_Funds Analysis raw'!$A$6:$A$104,'QB_Funds Analysis raw'!$B$6:$AC$104))),0,(_xlfn.XLOOKUP(V$5,'QB_Funds Analysis raw'!$B$5:$AC$5, _xlfn.XLOOKUP($A12,'QB_Funds Analysis raw'!$A$6:$A$104,'QB_Funds Analysis raw'!$B$6:$AC$104))))</f>
        <v>0</v>
      </c>
      <c r="W12" s="142" cm="1">
        <f t="array" ref="W12">IF(ISERROR(_xlfn.XLOOKUP(W$5,'QB_Funds Analysis raw'!$B$5:$AC$5, _xlfn.XLOOKUP($A12,'QB_Funds Analysis raw'!$A$6:$A$104,'QB_Funds Analysis raw'!$B$6:$AC$104))),0,(_xlfn.XLOOKUP(W$5,'QB_Funds Analysis raw'!$B$5:$AC$5, _xlfn.XLOOKUP($A12,'QB_Funds Analysis raw'!$A$6:$A$104,'QB_Funds Analysis raw'!$B$6:$AC$104))))</f>
        <v>0</v>
      </c>
      <c r="X12" s="142" cm="1">
        <f t="array" ref="X12">IF(ISERROR(_xlfn.XLOOKUP(X$5,'QB_Funds Analysis raw'!$B$5:$AC$5, _xlfn.XLOOKUP($A12,'QB_Funds Analysis raw'!$A$6:$A$104,'QB_Funds Analysis raw'!$B$6:$AC$104))),0,(_xlfn.XLOOKUP(X$5,'QB_Funds Analysis raw'!$B$5:$AC$5, _xlfn.XLOOKUP($A12,'QB_Funds Analysis raw'!$A$6:$A$104,'QB_Funds Analysis raw'!$B$6:$AC$104))))</f>
        <v>0</v>
      </c>
      <c r="Y12" s="142" cm="1">
        <f t="array" ref="Y12">IF(ISERROR(_xlfn.XLOOKUP(Y$5,'QB_Funds Analysis raw'!$B$5:$AC$5, _xlfn.XLOOKUP($A12,'QB_Funds Analysis raw'!$A$6:$A$104,'QB_Funds Analysis raw'!$B$6:$AC$104))),0,(_xlfn.XLOOKUP(Y$5,'QB_Funds Analysis raw'!$B$5:$AC$5, _xlfn.XLOOKUP($A12,'QB_Funds Analysis raw'!$A$6:$A$104,'QB_Funds Analysis raw'!$B$6:$AC$104))))</f>
        <v>0</v>
      </c>
      <c r="Z12" s="142" cm="1">
        <f t="array" ref="Z12">IF(ISERROR(_xlfn.XLOOKUP(Z$5,'QB_Funds Analysis raw'!$B$5:$AC$5, _xlfn.XLOOKUP($A12,'QB_Funds Analysis raw'!$A$6:$A$104,'QB_Funds Analysis raw'!$B$6:$AC$104))),0,(_xlfn.XLOOKUP(Z$5,'QB_Funds Analysis raw'!$B$5:$AC$5, _xlfn.XLOOKUP($A12,'QB_Funds Analysis raw'!$A$6:$A$104,'QB_Funds Analysis raw'!$B$6:$AC$104))))</f>
        <v>0</v>
      </c>
      <c r="AA12" s="142" cm="1">
        <f t="array" ref="AA12">IF(ISERROR(_xlfn.XLOOKUP(AA$5,'QB_Funds Analysis raw'!$B$5:$AC$5, _xlfn.XLOOKUP($A12,'QB_Funds Analysis raw'!$A$6:$A$104,'QB_Funds Analysis raw'!$B$6:$AC$104))),0,(_xlfn.XLOOKUP(AA$5,'QB_Funds Analysis raw'!$B$5:$AC$5, _xlfn.XLOOKUP($A12,'QB_Funds Analysis raw'!$A$6:$A$104,'QB_Funds Analysis raw'!$B$6:$AC$104))))</f>
        <v>0</v>
      </c>
      <c r="AB12" s="142" cm="1">
        <f t="array" ref="AB12">IF(ISERROR(_xlfn.XLOOKUP(AB$5,'QB_Funds Analysis raw'!$B$5:$AC$5, _xlfn.XLOOKUP($A12,'QB_Funds Analysis raw'!$A$6:$A$104,'QB_Funds Analysis raw'!$B$6:$AC$104))),0,(_xlfn.XLOOKUP(AB$5,'QB_Funds Analysis raw'!$B$5:$AC$5, _xlfn.XLOOKUP($A12,'QB_Funds Analysis raw'!$A$6:$A$104,'QB_Funds Analysis raw'!$B$6:$AC$104))))</f>
        <v>6204.87</v>
      </c>
      <c r="AC12" s="142" cm="1">
        <f t="array" ref="AC12">IF(ISERROR(_xlfn.XLOOKUP(AC$5,'QB_Funds Analysis raw'!$B$5:$AC$5, _xlfn.XLOOKUP($A12,'QB_Funds Analysis raw'!$A$6:$A$104,'QB_Funds Analysis raw'!$B$6:$AC$104))),0,(_xlfn.XLOOKUP(AC$5,'QB_Funds Analysis raw'!$B$5:$AC$5, _xlfn.XLOOKUP($A12,'QB_Funds Analysis raw'!$A$6:$A$104,'QB_Funds Analysis raw'!$B$6:$AC$104))))</f>
        <v>6204.87</v>
      </c>
      <c r="AD12" s="167">
        <f t="shared" si="0"/>
        <v>6204.87</v>
      </c>
      <c r="AE12" s="167">
        <f t="shared" si="4"/>
        <v>0</v>
      </c>
    </row>
    <row r="13" spans="1:31" ht="20.25" customHeight="1" x14ac:dyDescent="0.25">
      <c r="A13" s="2" t="s">
        <v>24</v>
      </c>
      <c r="B13" s="142" cm="1">
        <f t="array" ref="B13">IF(ISERROR(_xlfn.XLOOKUP(B$5,'QB_Funds Analysis raw'!$B$5:$AC$5, _xlfn.XLOOKUP($A13,'QB_Funds Analysis raw'!$A$6:$A$104,'QB_Funds Analysis raw'!$B$6:$AC$104))),0,(_xlfn.XLOOKUP(B$5,'QB_Funds Analysis raw'!$B$5:$AC$5, _xlfn.XLOOKUP($A13,'QB_Funds Analysis raw'!$A$6:$A$104,'QB_Funds Analysis raw'!$B$6:$AC$104))))</f>
        <v>0</v>
      </c>
      <c r="C13" s="142" cm="1">
        <f t="array" ref="C13">IF(ISERROR(_xlfn.XLOOKUP(C$5,'QB_Funds Analysis raw'!$B$5:$AC$5, _xlfn.XLOOKUP($A13,'QB_Funds Analysis raw'!$A$6:$A$104,'QB_Funds Analysis raw'!$B$6:$AC$104))),0,(_xlfn.XLOOKUP(C$5,'QB_Funds Analysis raw'!$B$5:$AC$5, _xlfn.XLOOKUP($A13,'QB_Funds Analysis raw'!$A$6:$A$104,'QB_Funds Analysis raw'!$B$6:$AC$104))))</f>
        <v>0</v>
      </c>
      <c r="D13" s="252" cm="1">
        <f t="array" ref="D13">IF(ISERROR(_xlfn.XLOOKUP(D$5,'QB_Funds Analysis raw'!$B$5:$AC$5, _xlfn.XLOOKUP($A13,'QB_Funds Analysis raw'!$A$6:$A$104,'QB_Funds Analysis raw'!$B$6:$AC$104))),0,(_xlfn.XLOOKUP(D$5,'QB_Funds Analysis raw'!$B$5:$AC$5, _xlfn.XLOOKUP($A13,'QB_Funds Analysis raw'!$A$6:$A$104,'QB_Funds Analysis raw'!$B$6:$AC$104))))</f>
        <v>0</v>
      </c>
      <c r="E13" s="142" cm="1">
        <f t="array" ref="E13">IF(ISERROR(_xlfn.XLOOKUP(E$5,'QB_Funds Analysis raw'!$B$5:$AC$5, _xlfn.XLOOKUP($A13,'QB_Funds Analysis raw'!$A$6:$A$104,'QB_Funds Analysis raw'!$B$6:$AC$104))),0,(_xlfn.XLOOKUP(E$5,'QB_Funds Analysis raw'!$B$5:$AC$5, _xlfn.XLOOKUP($A13,'QB_Funds Analysis raw'!$A$6:$A$104,'QB_Funds Analysis raw'!$B$6:$AC$104))))</f>
        <v>0</v>
      </c>
      <c r="F13" s="142" cm="1">
        <f t="array" ref="F13">IF(ISERROR(_xlfn.XLOOKUP(F$5,'QB_Funds Analysis raw'!$B$5:$AC$5, _xlfn.XLOOKUP($A13,'QB_Funds Analysis raw'!$A$6:$A$104,'QB_Funds Analysis raw'!$B$6:$AC$104))),0,(_xlfn.XLOOKUP(F$5,'QB_Funds Analysis raw'!$B$5:$AC$5, _xlfn.XLOOKUP($A13,'QB_Funds Analysis raw'!$A$6:$A$104,'QB_Funds Analysis raw'!$B$6:$AC$104))))</f>
        <v>0</v>
      </c>
      <c r="G13" s="142" cm="1">
        <f t="array" ref="G13">IF(ISERROR(_xlfn.XLOOKUP(G$5,'QB_Funds Analysis raw'!$B$5:$AC$5, _xlfn.XLOOKUP($A13,'QB_Funds Analysis raw'!$A$6:$A$104,'QB_Funds Analysis raw'!$B$6:$AC$104))),0,(_xlfn.XLOOKUP(G$5,'QB_Funds Analysis raw'!$B$5:$AC$5, _xlfn.XLOOKUP($A13,'QB_Funds Analysis raw'!$A$6:$A$104,'QB_Funds Analysis raw'!$B$6:$AC$104))))</f>
        <v>0</v>
      </c>
      <c r="H13" s="142" cm="1">
        <f t="array" ref="H13">IF(ISERROR(_xlfn.XLOOKUP(H$5,'QB_Funds Analysis raw'!$B$5:$AC$5, _xlfn.XLOOKUP($A13,'QB_Funds Analysis raw'!$A$6:$A$104,'QB_Funds Analysis raw'!$B$6:$AC$104))),0,(_xlfn.XLOOKUP(H$5,'QB_Funds Analysis raw'!$B$5:$AC$5, _xlfn.XLOOKUP($A13,'QB_Funds Analysis raw'!$A$6:$A$104,'QB_Funds Analysis raw'!$B$6:$AC$104))))</f>
        <v>0</v>
      </c>
      <c r="I13" s="142" cm="1">
        <f t="array" ref="I13">IF(ISERROR(_xlfn.XLOOKUP(I$5,'QB_Funds Analysis raw'!$B$5:$AC$5, _xlfn.XLOOKUP($A13,'QB_Funds Analysis raw'!$A$6:$A$104,'QB_Funds Analysis raw'!$B$6:$AC$104))),0,(_xlfn.XLOOKUP(I$5,'QB_Funds Analysis raw'!$B$5:$AC$5, _xlfn.XLOOKUP($A13,'QB_Funds Analysis raw'!$A$6:$A$104,'QB_Funds Analysis raw'!$B$6:$AC$104))))</f>
        <v>0</v>
      </c>
      <c r="J13" s="142" cm="1">
        <f t="array" ref="J13">IF(ISERROR(_xlfn.XLOOKUP(J$5,'QB_Funds Analysis raw'!$B$5:$AC$5, _xlfn.XLOOKUP($A13,'QB_Funds Analysis raw'!$A$6:$A$104,'QB_Funds Analysis raw'!$B$6:$AC$104))),0,(_xlfn.XLOOKUP(J$5,'QB_Funds Analysis raw'!$B$5:$AC$5, _xlfn.XLOOKUP($A13,'QB_Funds Analysis raw'!$A$6:$A$104,'QB_Funds Analysis raw'!$B$6:$AC$104))))</f>
        <v>0</v>
      </c>
      <c r="K13" s="252" cm="1">
        <f t="array" ref="K13">IF(ISERROR(_xlfn.XLOOKUP(K$5,'QB_Funds Analysis raw'!$B$5:$AC$5, _xlfn.XLOOKUP($A13,'QB_Funds Analysis raw'!$A$6:$A$104,'QB_Funds Analysis raw'!$B$6:$AC$104))),0,(_xlfn.XLOOKUP(K$5,'QB_Funds Analysis raw'!$B$5:$AC$5, _xlfn.XLOOKUP($A13,'QB_Funds Analysis raw'!$A$6:$A$104,'QB_Funds Analysis raw'!$B$6:$AC$104))))</f>
        <v>0</v>
      </c>
      <c r="L13" s="142" cm="1">
        <f t="array" ref="L13">IF(ISERROR(_xlfn.XLOOKUP(L$5,'QB_Funds Analysis raw'!$B$5:$AC$5, _xlfn.XLOOKUP($A13,'QB_Funds Analysis raw'!$A$6:$A$104,'QB_Funds Analysis raw'!$B$6:$AC$104))),0,(_xlfn.XLOOKUP(L$5,'QB_Funds Analysis raw'!$B$5:$AC$5, _xlfn.XLOOKUP($A13,'QB_Funds Analysis raw'!$A$6:$A$104,'QB_Funds Analysis raw'!$B$6:$AC$104))))</f>
        <v>0</v>
      </c>
      <c r="M13" s="142" cm="1">
        <f t="array" ref="M13">IF(ISERROR(_xlfn.XLOOKUP(M$5,'QB_Funds Analysis raw'!$B$5:$AC$5, _xlfn.XLOOKUP($A13,'QB_Funds Analysis raw'!$A$6:$A$104,'QB_Funds Analysis raw'!$B$6:$AC$104))),0,(_xlfn.XLOOKUP(M$5,'QB_Funds Analysis raw'!$B$5:$AC$5, _xlfn.XLOOKUP($A13,'QB_Funds Analysis raw'!$A$6:$A$104,'QB_Funds Analysis raw'!$B$6:$AC$104))))</f>
        <v>0</v>
      </c>
      <c r="N13" s="252" cm="1">
        <f t="array" ref="N13">IF(ISERROR(_xlfn.XLOOKUP(N$5,'QB_Funds Analysis raw'!$B$5:$AC$5, _xlfn.XLOOKUP($A13,'QB_Funds Analysis raw'!$A$6:$A$104,'QB_Funds Analysis raw'!$B$6:$AC$104))),0,(_xlfn.XLOOKUP(N$5,'QB_Funds Analysis raw'!$B$5:$AC$5, _xlfn.XLOOKUP($A13,'QB_Funds Analysis raw'!$A$6:$A$104,'QB_Funds Analysis raw'!$B$6:$AC$104))))</f>
        <v>0</v>
      </c>
      <c r="O13" s="252" cm="1">
        <f t="array" ref="O13">IF(ISERROR(_xlfn.XLOOKUP(O$5,'QB_Funds Analysis raw'!$B$5:$AC$5, _xlfn.XLOOKUP($A13,'QB_Funds Analysis raw'!$A$6:$A$104,'QB_Funds Analysis raw'!$B$6:$AC$104))),0,(_xlfn.XLOOKUP(O$5,'QB_Funds Analysis raw'!$B$5:$AC$5, _xlfn.XLOOKUP($A13,'QB_Funds Analysis raw'!$A$6:$A$104,'QB_Funds Analysis raw'!$B$6:$AC$104))))</f>
        <v>0</v>
      </c>
      <c r="P13" s="142" cm="1">
        <f t="array" ref="P13">IF(ISERROR(_xlfn.XLOOKUP(P$5,'QB_Funds Analysis raw'!$B$5:$AC$5, _xlfn.XLOOKUP($A13,'QB_Funds Analysis raw'!$A$6:$A$104,'QB_Funds Analysis raw'!$B$6:$AC$104))),0,(_xlfn.XLOOKUP(P$5,'QB_Funds Analysis raw'!$B$5:$AC$5, _xlfn.XLOOKUP($A13,'QB_Funds Analysis raw'!$A$6:$A$104,'QB_Funds Analysis raw'!$B$6:$AC$104))))</f>
        <v>0</v>
      </c>
      <c r="Q13" s="247" cm="1">
        <f t="array" ref="Q13">IF(ISERROR(_xlfn.XLOOKUP(Q$5,'QB_Funds Analysis raw'!$B$5:$AC$5, _xlfn.XLOOKUP($A13,'QB_Funds Analysis raw'!$A$6:$A$104,'QB_Funds Analysis raw'!$B$6:$AC$104))),0,(_xlfn.XLOOKUP(Q$5,'QB_Funds Analysis raw'!$B$5:$AC$5, _xlfn.XLOOKUP($A13,'QB_Funds Analysis raw'!$A$6:$A$104,'QB_Funds Analysis raw'!$B$6:$AC$104))))</f>
        <v>0</v>
      </c>
      <c r="R13" s="142" cm="1">
        <f t="array" ref="R13">IF(ISERROR(_xlfn.XLOOKUP(R$5,'QB_Funds Analysis raw'!$B$5:$AC$5, _xlfn.XLOOKUP($A13,'QB_Funds Analysis raw'!$A$6:$A$104,'QB_Funds Analysis raw'!$B$6:$AC$104))),0,(_xlfn.XLOOKUP(R$5,'QB_Funds Analysis raw'!$B$5:$AC$5, _xlfn.XLOOKUP($A13,'QB_Funds Analysis raw'!$A$6:$A$104,'QB_Funds Analysis raw'!$B$6:$AC$104))))</f>
        <v>0</v>
      </c>
      <c r="S13" s="142" cm="1">
        <f t="array" ref="S13">IF(ISERROR(_xlfn.XLOOKUP(S$5,'QB_Funds Analysis raw'!$B$5:$AC$5, _xlfn.XLOOKUP($A13,'QB_Funds Analysis raw'!$A$6:$A$104,'QB_Funds Analysis raw'!$B$6:$AC$104))),0,(_xlfn.XLOOKUP(S$5,'QB_Funds Analysis raw'!$B$5:$AC$5, _xlfn.XLOOKUP($A13,'QB_Funds Analysis raw'!$A$6:$A$104,'QB_Funds Analysis raw'!$B$6:$AC$104))))</f>
        <v>0</v>
      </c>
      <c r="T13" s="142" cm="1">
        <f t="array" ref="T13">IF(ISERROR(_xlfn.XLOOKUP(T$5,'QB_Funds Analysis raw'!$B$5:$AC$5, _xlfn.XLOOKUP($A13,'QB_Funds Analysis raw'!$A$6:$A$104,'QB_Funds Analysis raw'!$B$6:$AC$104))),0,(_xlfn.XLOOKUP(T$5,'QB_Funds Analysis raw'!$B$5:$AC$5, _xlfn.XLOOKUP($A13,'QB_Funds Analysis raw'!$A$6:$A$104,'QB_Funds Analysis raw'!$B$6:$AC$104))))</f>
        <v>0</v>
      </c>
      <c r="U13" s="142" cm="1">
        <f t="array" ref="U13">IF(ISERROR(_xlfn.XLOOKUP(U$5,'QB_Funds Analysis raw'!$B$5:$AC$5, _xlfn.XLOOKUP($A13,'QB_Funds Analysis raw'!$A$6:$A$104,'QB_Funds Analysis raw'!$B$6:$AC$104))),0,(_xlfn.XLOOKUP(U$5,'QB_Funds Analysis raw'!$B$5:$AC$5, _xlfn.XLOOKUP($A13,'QB_Funds Analysis raw'!$A$6:$A$104,'QB_Funds Analysis raw'!$B$6:$AC$104))))</f>
        <v>0</v>
      </c>
      <c r="V13" s="142" cm="1">
        <f t="array" ref="V13">IF(ISERROR(_xlfn.XLOOKUP(V$5,'QB_Funds Analysis raw'!$B$5:$AC$5, _xlfn.XLOOKUP($A13,'QB_Funds Analysis raw'!$A$6:$A$104,'QB_Funds Analysis raw'!$B$6:$AC$104))),0,(_xlfn.XLOOKUP(V$5,'QB_Funds Analysis raw'!$B$5:$AC$5, _xlfn.XLOOKUP($A13,'QB_Funds Analysis raw'!$A$6:$A$104,'QB_Funds Analysis raw'!$B$6:$AC$104))))</f>
        <v>0</v>
      </c>
      <c r="W13" s="142" cm="1">
        <f t="array" ref="W13">IF(ISERROR(_xlfn.XLOOKUP(W$5,'QB_Funds Analysis raw'!$B$5:$AC$5, _xlfn.XLOOKUP($A13,'QB_Funds Analysis raw'!$A$6:$A$104,'QB_Funds Analysis raw'!$B$6:$AC$104))),0,(_xlfn.XLOOKUP(W$5,'QB_Funds Analysis raw'!$B$5:$AC$5, _xlfn.XLOOKUP($A13,'QB_Funds Analysis raw'!$A$6:$A$104,'QB_Funds Analysis raw'!$B$6:$AC$104))))</f>
        <v>0</v>
      </c>
      <c r="X13" s="142" cm="1">
        <f t="array" ref="X13">IF(ISERROR(_xlfn.XLOOKUP(X$5,'QB_Funds Analysis raw'!$B$5:$AC$5, _xlfn.XLOOKUP($A13,'QB_Funds Analysis raw'!$A$6:$A$104,'QB_Funds Analysis raw'!$B$6:$AC$104))),0,(_xlfn.XLOOKUP(X$5,'QB_Funds Analysis raw'!$B$5:$AC$5, _xlfn.XLOOKUP($A13,'QB_Funds Analysis raw'!$A$6:$A$104,'QB_Funds Analysis raw'!$B$6:$AC$104))))</f>
        <v>0</v>
      </c>
      <c r="Y13" s="142" cm="1">
        <f t="array" ref="Y13">IF(ISERROR(_xlfn.XLOOKUP(Y$5,'QB_Funds Analysis raw'!$B$5:$AC$5, _xlfn.XLOOKUP($A13,'QB_Funds Analysis raw'!$A$6:$A$104,'QB_Funds Analysis raw'!$B$6:$AC$104))),0,(_xlfn.XLOOKUP(Y$5,'QB_Funds Analysis raw'!$B$5:$AC$5, _xlfn.XLOOKUP($A13,'QB_Funds Analysis raw'!$A$6:$A$104,'QB_Funds Analysis raw'!$B$6:$AC$104))))</f>
        <v>0</v>
      </c>
      <c r="Z13" s="142" cm="1">
        <f t="array" ref="Z13">IF(ISERROR(_xlfn.XLOOKUP(Z$5,'QB_Funds Analysis raw'!$B$5:$AC$5, _xlfn.XLOOKUP($A13,'QB_Funds Analysis raw'!$A$6:$A$104,'QB_Funds Analysis raw'!$B$6:$AC$104))),0,(_xlfn.XLOOKUP(Z$5,'QB_Funds Analysis raw'!$B$5:$AC$5, _xlfn.XLOOKUP($A13,'QB_Funds Analysis raw'!$A$6:$A$104,'QB_Funds Analysis raw'!$B$6:$AC$104))))</f>
        <v>0</v>
      </c>
      <c r="AA13" s="142" cm="1">
        <f t="array" ref="AA13">IF(ISERROR(_xlfn.XLOOKUP(AA$5,'QB_Funds Analysis raw'!$B$5:$AC$5, _xlfn.XLOOKUP($A13,'QB_Funds Analysis raw'!$A$6:$A$104,'QB_Funds Analysis raw'!$B$6:$AC$104))),0,(_xlfn.XLOOKUP(AA$5,'QB_Funds Analysis raw'!$B$5:$AC$5, _xlfn.XLOOKUP($A13,'QB_Funds Analysis raw'!$A$6:$A$104,'QB_Funds Analysis raw'!$B$6:$AC$104))))</f>
        <v>0</v>
      </c>
      <c r="AB13" s="142" cm="1">
        <f t="array" ref="AB13">IF(ISERROR(_xlfn.XLOOKUP(AB$5,'QB_Funds Analysis raw'!$B$5:$AC$5, _xlfn.XLOOKUP($A13,'QB_Funds Analysis raw'!$A$6:$A$104,'QB_Funds Analysis raw'!$B$6:$AC$104))),0,(_xlfn.XLOOKUP(AB$5,'QB_Funds Analysis raw'!$B$5:$AC$5, _xlfn.XLOOKUP($A13,'QB_Funds Analysis raw'!$A$6:$A$104,'QB_Funds Analysis raw'!$B$6:$AC$104))))</f>
        <v>11418</v>
      </c>
      <c r="AC13" s="142" cm="1">
        <f t="array" ref="AC13">IF(ISERROR(_xlfn.XLOOKUP(AC$5,'QB_Funds Analysis raw'!$B$5:$AC$5, _xlfn.XLOOKUP($A13,'QB_Funds Analysis raw'!$A$6:$A$104,'QB_Funds Analysis raw'!$B$6:$AC$104))),0,(_xlfn.XLOOKUP(AC$5,'QB_Funds Analysis raw'!$B$5:$AC$5, _xlfn.XLOOKUP($A13,'QB_Funds Analysis raw'!$A$6:$A$104,'QB_Funds Analysis raw'!$B$6:$AC$104))))</f>
        <v>11418</v>
      </c>
      <c r="AD13" s="167">
        <f t="shared" si="0"/>
        <v>11418</v>
      </c>
      <c r="AE13" s="167">
        <f t="shared" si="4"/>
        <v>0</v>
      </c>
    </row>
    <row r="14" spans="1:31" ht="20.25" customHeight="1" x14ac:dyDescent="0.25">
      <c r="A14" s="2" t="s">
        <v>25</v>
      </c>
      <c r="B14" s="142" cm="1">
        <f t="array" ref="B14">IF(ISERROR(_xlfn.XLOOKUP(B$5,'QB_Funds Analysis raw'!$B$5:$AC$5, _xlfn.XLOOKUP($A14,'QB_Funds Analysis raw'!$A$6:$A$104,'QB_Funds Analysis raw'!$B$6:$AC$104))),0,(_xlfn.XLOOKUP(B$5,'QB_Funds Analysis raw'!$B$5:$AC$5, _xlfn.XLOOKUP($A14,'QB_Funds Analysis raw'!$A$6:$A$104,'QB_Funds Analysis raw'!$B$6:$AC$104))))</f>
        <v>0</v>
      </c>
      <c r="C14" s="142" cm="1">
        <f t="array" ref="C14">IF(ISERROR(_xlfn.XLOOKUP(C$5,'QB_Funds Analysis raw'!$B$5:$AC$5, _xlfn.XLOOKUP($A14,'QB_Funds Analysis raw'!$A$6:$A$104,'QB_Funds Analysis raw'!$B$6:$AC$104))),0,(_xlfn.XLOOKUP(C$5,'QB_Funds Analysis raw'!$B$5:$AC$5, _xlfn.XLOOKUP($A14,'QB_Funds Analysis raw'!$A$6:$A$104,'QB_Funds Analysis raw'!$B$6:$AC$104))))</f>
        <v>0</v>
      </c>
      <c r="D14" s="252" cm="1">
        <f t="array" ref="D14">IF(ISERROR(_xlfn.XLOOKUP(D$5,'QB_Funds Analysis raw'!$B$5:$AC$5, _xlfn.XLOOKUP($A14,'QB_Funds Analysis raw'!$A$6:$A$104,'QB_Funds Analysis raw'!$B$6:$AC$104))),0,(_xlfn.XLOOKUP(D$5,'QB_Funds Analysis raw'!$B$5:$AC$5, _xlfn.XLOOKUP($A14,'QB_Funds Analysis raw'!$A$6:$A$104,'QB_Funds Analysis raw'!$B$6:$AC$104))))</f>
        <v>0</v>
      </c>
      <c r="E14" s="142" cm="1">
        <f t="array" ref="E14">IF(ISERROR(_xlfn.XLOOKUP(E$5,'QB_Funds Analysis raw'!$B$5:$AC$5, _xlfn.XLOOKUP($A14,'QB_Funds Analysis raw'!$A$6:$A$104,'QB_Funds Analysis raw'!$B$6:$AC$104))),0,(_xlfn.XLOOKUP(E$5,'QB_Funds Analysis raw'!$B$5:$AC$5, _xlfn.XLOOKUP($A14,'QB_Funds Analysis raw'!$A$6:$A$104,'QB_Funds Analysis raw'!$B$6:$AC$104))))</f>
        <v>0</v>
      </c>
      <c r="F14" s="142" cm="1">
        <f t="array" ref="F14">IF(ISERROR(_xlfn.XLOOKUP(F$5,'QB_Funds Analysis raw'!$B$5:$AC$5, _xlfn.XLOOKUP($A14,'QB_Funds Analysis raw'!$A$6:$A$104,'QB_Funds Analysis raw'!$B$6:$AC$104))),0,(_xlfn.XLOOKUP(F$5,'QB_Funds Analysis raw'!$B$5:$AC$5, _xlfn.XLOOKUP($A14,'QB_Funds Analysis raw'!$A$6:$A$104,'QB_Funds Analysis raw'!$B$6:$AC$104))))</f>
        <v>0</v>
      </c>
      <c r="G14" s="142" cm="1">
        <f t="array" ref="G14">IF(ISERROR(_xlfn.XLOOKUP(G$5,'QB_Funds Analysis raw'!$B$5:$AC$5, _xlfn.XLOOKUP($A14,'QB_Funds Analysis raw'!$A$6:$A$104,'QB_Funds Analysis raw'!$B$6:$AC$104))),0,(_xlfn.XLOOKUP(G$5,'QB_Funds Analysis raw'!$B$5:$AC$5, _xlfn.XLOOKUP($A14,'QB_Funds Analysis raw'!$A$6:$A$104,'QB_Funds Analysis raw'!$B$6:$AC$104))))</f>
        <v>0</v>
      </c>
      <c r="H14" s="142" cm="1">
        <f t="array" ref="H14">IF(ISERROR(_xlfn.XLOOKUP(H$5,'QB_Funds Analysis raw'!$B$5:$AC$5, _xlfn.XLOOKUP($A14,'QB_Funds Analysis raw'!$A$6:$A$104,'QB_Funds Analysis raw'!$B$6:$AC$104))),0,(_xlfn.XLOOKUP(H$5,'QB_Funds Analysis raw'!$B$5:$AC$5, _xlfn.XLOOKUP($A14,'QB_Funds Analysis raw'!$A$6:$A$104,'QB_Funds Analysis raw'!$B$6:$AC$104))))</f>
        <v>0</v>
      </c>
      <c r="I14" s="142" cm="1">
        <f t="array" ref="I14">IF(ISERROR(_xlfn.XLOOKUP(I$5,'QB_Funds Analysis raw'!$B$5:$AC$5, _xlfn.XLOOKUP($A14,'QB_Funds Analysis raw'!$A$6:$A$104,'QB_Funds Analysis raw'!$B$6:$AC$104))),0,(_xlfn.XLOOKUP(I$5,'QB_Funds Analysis raw'!$B$5:$AC$5, _xlfn.XLOOKUP($A14,'QB_Funds Analysis raw'!$A$6:$A$104,'QB_Funds Analysis raw'!$B$6:$AC$104))))</f>
        <v>0</v>
      </c>
      <c r="J14" s="142" cm="1">
        <f t="array" ref="J14">IF(ISERROR(_xlfn.XLOOKUP(J$5,'QB_Funds Analysis raw'!$B$5:$AC$5, _xlfn.XLOOKUP($A14,'QB_Funds Analysis raw'!$A$6:$A$104,'QB_Funds Analysis raw'!$B$6:$AC$104))),0,(_xlfn.XLOOKUP(J$5,'QB_Funds Analysis raw'!$B$5:$AC$5, _xlfn.XLOOKUP($A14,'QB_Funds Analysis raw'!$A$6:$A$104,'QB_Funds Analysis raw'!$B$6:$AC$104))))</f>
        <v>0</v>
      </c>
      <c r="K14" s="252" cm="1">
        <f t="array" ref="K14">IF(ISERROR(_xlfn.XLOOKUP(K$5,'QB_Funds Analysis raw'!$B$5:$AC$5, _xlfn.XLOOKUP($A14,'QB_Funds Analysis raw'!$A$6:$A$104,'QB_Funds Analysis raw'!$B$6:$AC$104))),0,(_xlfn.XLOOKUP(K$5,'QB_Funds Analysis raw'!$B$5:$AC$5, _xlfn.XLOOKUP($A14,'QB_Funds Analysis raw'!$A$6:$A$104,'QB_Funds Analysis raw'!$B$6:$AC$104))))</f>
        <v>0</v>
      </c>
      <c r="L14" s="142" cm="1">
        <f t="array" ref="L14">IF(ISERROR(_xlfn.XLOOKUP(L$5,'QB_Funds Analysis raw'!$B$5:$AC$5, _xlfn.XLOOKUP($A14,'QB_Funds Analysis raw'!$A$6:$A$104,'QB_Funds Analysis raw'!$B$6:$AC$104))),0,(_xlfn.XLOOKUP(L$5,'QB_Funds Analysis raw'!$B$5:$AC$5, _xlfn.XLOOKUP($A14,'QB_Funds Analysis raw'!$A$6:$A$104,'QB_Funds Analysis raw'!$B$6:$AC$104))))</f>
        <v>0</v>
      </c>
      <c r="M14" s="142" cm="1">
        <f t="array" ref="M14">IF(ISERROR(_xlfn.XLOOKUP(M$5,'QB_Funds Analysis raw'!$B$5:$AC$5, _xlfn.XLOOKUP($A14,'QB_Funds Analysis raw'!$A$6:$A$104,'QB_Funds Analysis raw'!$B$6:$AC$104))),0,(_xlfn.XLOOKUP(M$5,'QB_Funds Analysis raw'!$B$5:$AC$5, _xlfn.XLOOKUP($A14,'QB_Funds Analysis raw'!$A$6:$A$104,'QB_Funds Analysis raw'!$B$6:$AC$104))))</f>
        <v>0</v>
      </c>
      <c r="N14" s="252" cm="1">
        <f t="array" ref="N14">IF(ISERROR(_xlfn.XLOOKUP(N$5,'QB_Funds Analysis raw'!$B$5:$AC$5, _xlfn.XLOOKUP($A14,'QB_Funds Analysis raw'!$A$6:$A$104,'QB_Funds Analysis raw'!$B$6:$AC$104))),0,(_xlfn.XLOOKUP(N$5,'QB_Funds Analysis raw'!$B$5:$AC$5, _xlfn.XLOOKUP($A14,'QB_Funds Analysis raw'!$A$6:$A$104,'QB_Funds Analysis raw'!$B$6:$AC$104))))</f>
        <v>0</v>
      </c>
      <c r="O14" s="252" cm="1">
        <f t="array" ref="O14">IF(ISERROR(_xlfn.XLOOKUP(O$5,'QB_Funds Analysis raw'!$B$5:$AC$5, _xlfn.XLOOKUP($A14,'QB_Funds Analysis raw'!$A$6:$A$104,'QB_Funds Analysis raw'!$B$6:$AC$104))),0,(_xlfn.XLOOKUP(O$5,'QB_Funds Analysis raw'!$B$5:$AC$5, _xlfn.XLOOKUP($A14,'QB_Funds Analysis raw'!$A$6:$A$104,'QB_Funds Analysis raw'!$B$6:$AC$104))))</f>
        <v>0</v>
      </c>
      <c r="P14" s="142" cm="1">
        <f t="array" ref="P14">IF(ISERROR(_xlfn.XLOOKUP(P$5,'QB_Funds Analysis raw'!$B$5:$AC$5, _xlfn.XLOOKUP($A14,'QB_Funds Analysis raw'!$A$6:$A$104,'QB_Funds Analysis raw'!$B$6:$AC$104))),0,(_xlfn.XLOOKUP(P$5,'QB_Funds Analysis raw'!$B$5:$AC$5, _xlfn.XLOOKUP($A14,'QB_Funds Analysis raw'!$A$6:$A$104,'QB_Funds Analysis raw'!$B$6:$AC$104))))</f>
        <v>0</v>
      </c>
      <c r="Q14" s="247" cm="1">
        <f t="array" ref="Q14">IF(ISERROR(_xlfn.XLOOKUP(Q$5,'QB_Funds Analysis raw'!$B$5:$AC$5, _xlfn.XLOOKUP($A14,'QB_Funds Analysis raw'!$A$6:$A$104,'QB_Funds Analysis raw'!$B$6:$AC$104))),0,(_xlfn.XLOOKUP(Q$5,'QB_Funds Analysis raw'!$B$5:$AC$5, _xlfn.XLOOKUP($A14,'QB_Funds Analysis raw'!$A$6:$A$104,'QB_Funds Analysis raw'!$B$6:$AC$104))))</f>
        <v>0</v>
      </c>
      <c r="R14" s="142" cm="1">
        <f t="array" ref="R14">IF(ISERROR(_xlfn.XLOOKUP(R$5,'QB_Funds Analysis raw'!$B$5:$AC$5, _xlfn.XLOOKUP($A14,'QB_Funds Analysis raw'!$A$6:$A$104,'QB_Funds Analysis raw'!$B$6:$AC$104))),0,(_xlfn.XLOOKUP(R$5,'QB_Funds Analysis raw'!$B$5:$AC$5, _xlfn.XLOOKUP($A14,'QB_Funds Analysis raw'!$A$6:$A$104,'QB_Funds Analysis raw'!$B$6:$AC$104))))</f>
        <v>0</v>
      </c>
      <c r="S14" s="142" cm="1">
        <f t="array" ref="S14">IF(ISERROR(_xlfn.XLOOKUP(S$5,'QB_Funds Analysis raw'!$B$5:$AC$5, _xlfn.XLOOKUP($A14,'QB_Funds Analysis raw'!$A$6:$A$104,'QB_Funds Analysis raw'!$B$6:$AC$104))),0,(_xlfn.XLOOKUP(S$5,'QB_Funds Analysis raw'!$B$5:$AC$5, _xlfn.XLOOKUP($A14,'QB_Funds Analysis raw'!$A$6:$A$104,'QB_Funds Analysis raw'!$B$6:$AC$104))))</f>
        <v>0</v>
      </c>
      <c r="T14" s="142" cm="1">
        <f t="array" ref="T14">IF(ISERROR(_xlfn.XLOOKUP(T$5,'QB_Funds Analysis raw'!$B$5:$AC$5, _xlfn.XLOOKUP($A14,'QB_Funds Analysis raw'!$A$6:$A$104,'QB_Funds Analysis raw'!$B$6:$AC$104))),0,(_xlfn.XLOOKUP(T$5,'QB_Funds Analysis raw'!$B$5:$AC$5, _xlfn.XLOOKUP($A14,'QB_Funds Analysis raw'!$A$6:$A$104,'QB_Funds Analysis raw'!$B$6:$AC$104))))</f>
        <v>0</v>
      </c>
      <c r="U14" s="142" cm="1">
        <f t="array" ref="U14">IF(ISERROR(_xlfn.XLOOKUP(U$5,'QB_Funds Analysis raw'!$B$5:$AC$5, _xlfn.XLOOKUP($A14,'QB_Funds Analysis raw'!$A$6:$A$104,'QB_Funds Analysis raw'!$B$6:$AC$104))),0,(_xlfn.XLOOKUP(U$5,'QB_Funds Analysis raw'!$B$5:$AC$5, _xlfn.XLOOKUP($A14,'QB_Funds Analysis raw'!$A$6:$A$104,'QB_Funds Analysis raw'!$B$6:$AC$104))))</f>
        <v>0</v>
      </c>
      <c r="V14" s="142" cm="1">
        <f t="array" ref="V14">IF(ISERROR(_xlfn.XLOOKUP(V$5,'QB_Funds Analysis raw'!$B$5:$AC$5, _xlfn.XLOOKUP($A14,'QB_Funds Analysis raw'!$A$6:$A$104,'QB_Funds Analysis raw'!$B$6:$AC$104))),0,(_xlfn.XLOOKUP(V$5,'QB_Funds Analysis raw'!$B$5:$AC$5, _xlfn.XLOOKUP($A14,'QB_Funds Analysis raw'!$A$6:$A$104,'QB_Funds Analysis raw'!$B$6:$AC$104))))</f>
        <v>0</v>
      </c>
      <c r="W14" s="142" cm="1">
        <f t="array" ref="W14">IF(ISERROR(_xlfn.XLOOKUP(W$5,'QB_Funds Analysis raw'!$B$5:$AC$5, _xlfn.XLOOKUP($A14,'QB_Funds Analysis raw'!$A$6:$A$104,'QB_Funds Analysis raw'!$B$6:$AC$104))),0,(_xlfn.XLOOKUP(W$5,'QB_Funds Analysis raw'!$B$5:$AC$5, _xlfn.XLOOKUP($A14,'QB_Funds Analysis raw'!$A$6:$A$104,'QB_Funds Analysis raw'!$B$6:$AC$104))))</f>
        <v>0</v>
      </c>
      <c r="X14" s="142" cm="1">
        <f t="array" ref="X14">IF(ISERROR(_xlfn.XLOOKUP(X$5,'QB_Funds Analysis raw'!$B$5:$AC$5, _xlfn.XLOOKUP($A14,'QB_Funds Analysis raw'!$A$6:$A$104,'QB_Funds Analysis raw'!$B$6:$AC$104))),0,(_xlfn.XLOOKUP(X$5,'QB_Funds Analysis raw'!$B$5:$AC$5, _xlfn.XLOOKUP($A14,'QB_Funds Analysis raw'!$A$6:$A$104,'QB_Funds Analysis raw'!$B$6:$AC$104))))</f>
        <v>0</v>
      </c>
      <c r="Y14" s="142" cm="1">
        <f t="array" ref="Y14">IF(ISERROR(_xlfn.XLOOKUP(Y$5,'QB_Funds Analysis raw'!$B$5:$AC$5, _xlfn.XLOOKUP($A14,'QB_Funds Analysis raw'!$A$6:$A$104,'QB_Funds Analysis raw'!$B$6:$AC$104))),0,(_xlfn.XLOOKUP(Y$5,'QB_Funds Analysis raw'!$B$5:$AC$5, _xlfn.XLOOKUP($A14,'QB_Funds Analysis raw'!$A$6:$A$104,'QB_Funds Analysis raw'!$B$6:$AC$104))))</f>
        <v>0</v>
      </c>
      <c r="Z14" s="142" cm="1">
        <f t="array" ref="Z14">IF(ISERROR(_xlfn.XLOOKUP(Z$5,'QB_Funds Analysis raw'!$B$5:$AC$5, _xlfn.XLOOKUP($A14,'QB_Funds Analysis raw'!$A$6:$A$104,'QB_Funds Analysis raw'!$B$6:$AC$104))),0,(_xlfn.XLOOKUP(Z$5,'QB_Funds Analysis raw'!$B$5:$AC$5, _xlfn.XLOOKUP($A14,'QB_Funds Analysis raw'!$A$6:$A$104,'QB_Funds Analysis raw'!$B$6:$AC$104))))</f>
        <v>0</v>
      </c>
      <c r="AA14" s="142" cm="1">
        <f t="array" ref="AA14">IF(ISERROR(_xlfn.XLOOKUP(AA$5,'QB_Funds Analysis raw'!$B$5:$AC$5, _xlfn.XLOOKUP($A14,'QB_Funds Analysis raw'!$A$6:$A$104,'QB_Funds Analysis raw'!$B$6:$AC$104))),0,(_xlfn.XLOOKUP(AA$5,'QB_Funds Analysis raw'!$B$5:$AC$5, _xlfn.XLOOKUP($A14,'QB_Funds Analysis raw'!$A$6:$A$104,'QB_Funds Analysis raw'!$B$6:$AC$104))))</f>
        <v>0</v>
      </c>
      <c r="AB14" s="142" cm="1">
        <f t="array" ref="AB14">IF(ISERROR(_xlfn.XLOOKUP(AB$5,'QB_Funds Analysis raw'!$B$5:$AC$5, _xlfn.XLOOKUP($A14,'QB_Funds Analysis raw'!$A$6:$A$104,'QB_Funds Analysis raw'!$B$6:$AC$104))),0,(_xlfn.XLOOKUP(AB$5,'QB_Funds Analysis raw'!$B$5:$AC$5, _xlfn.XLOOKUP($A14,'QB_Funds Analysis raw'!$A$6:$A$104,'QB_Funds Analysis raw'!$B$6:$AC$104))))</f>
        <v>50522.080000000002</v>
      </c>
      <c r="AC14" s="142" cm="1">
        <f t="array" ref="AC14">IF(ISERROR(_xlfn.XLOOKUP(AC$5,'QB_Funds Analysis raw'!$B$5:$AC$5, _xlfn.XLOOKUP($A14,'QB_Funds Analysis raw'!$A$6:$A$104,'QB_Funds Analysis raw'!$B$6:$AC$104))),0,(_xlfn.XLOOKUP(AC$5,'QB_Funds Analysis raw'!$B$5:$AC$5, _xlfn.XLOOKUP($A14,'QB_Funds Analysis raw'!$A$6:$A$104,'QB_Funds Analysis raw'!$B$6:$AC$104))))</f>
        <v>50522.080000000002</v>
      </c>
      <c r="AD14" s="167">
        <f t="shared" si="0"/>
        <v>50522.080000000002</v>
      </c>
      <c r="AE14" s="167">
        <f t="shared" si="4"/>
        <v>0</v>
      </c>
    </row>
    <row r="15" spans="1:31" ht="20.25" customHeight="1" x14ac:dyDescent="0.25">
      <c r="A15" s="2" t="s">
        <v>27</v>
      </c>
      <c r="B15" s="142" cm="1">
        <f t="array" ref="B15">IF(ISERROR(_xlfn.XLOOKUP(B$5,'QB_Funds Analysis raw'!$B$5:$AC$5, _xlfn.XLOOKUP($A15,'QB_Funds Analysis raw'!$A$6:$A$104,'QB_Funds Analysis raw'!$B$6:$AC$104))),0,(_xlfn.XLOOKUP(B$5,'QB_Funds Analysis raw'!$B$5:$AC$5, _xlfn.XLOOKUP($A15,'QB_Funds Analysis raw'!$A$6:$A$104,'QB_Funds Analysis raw'!$B$6:$AC$104))))</f>
        <v>0</v>
      </c>
      <c r="C15" s="142" cm="1">
        <f t="array" ref="C15">IF(ISERROR(_xlfn.XLOOKUP(C$5,'QB_Funds Analysis raw'!$B$5:$AC$5, _xlfn.XLOOKUP($A15,'QB_Funds Analysis raw'!$A$6:$A$104,'QB_Funds Analysis raw'!$B$6:$AC$104))),0,(_xlfn.XLOOKUP(C$5,'QB_Funds Analysis raw'!$B$5:$AC$5, _xlfn.XLOOKUP($A15,'QB_Funds Analysis raw'!$A$6:$A$104,'QB_Funds Analysis raw'!$B$6:$AC$104))))</f>
        <v>0</v>
      </c>
      <c r="D15" s="252" cm="1">
        <f t="array" ref="D15">IF(ISERROR(_xlfn.XLOOKUP(D$5,'QB_Funds Analysis raw'!$B$5:$AC$5, _xlfn.XLOOKUP($A15,'QB_Funds Analysis raw'!$A$6:$A$104,'QB_Funds Analysis raw'!$B$6:$AC$104))),0,(_xlfn.XLOOKUP(D$5,'QB_Funds Analysis raw'!$B$5:$AC$5, _xlfn.XLOOKUP($A15,'QB_Funds Analysis raw'!$A$6:$A$104,'QB_Funds Analysis raw'!$B$6:$AC$104))))</f>
        <v>0</v>
      </c>
      <c r="E15" s="142" cm="1">
        <f t="array" ref="E15">IF(ISERROR(_xlfn.XLOOKUP(E$5,'QB_Funds Analysis raw'!$B$5:$AC$5, _xlfn.XLOOKUP($A15,'QB_Funds Analysis raw'!$A$6:$A$104,'QB_Funds Analysis raw'!$B$6:$AC$104))),0,(_xlfn.XLOOKUP(E$5,'QB_Funds Analysis raw'!$B$5:$AC$5, _xlfn.XLOOKUP($A15,'QB_Funds Analysis raw'!$A$6:$A$104,'QB_Funds Analysis raw'!$B$6:$AC$104))))</f>
        <v>0</v>
      </c>
      <c r="F15" s="142" cm="1">
        <f t="array" ref="F15">IF(ISERROR(_xlfn.XLOOKUP(F$5,'QB_Funds Analysis raw'!$B$5:$AC$5, _xlfn.XLOOKUP($A15,'QB_Funds Analysis raw'!$A$6:$A$104,'QB_Funds Analysis raw'!$B$6:$AC$104))),0,(_xlfn.XLOOKUP(F$5,'QB_Funds Analysis raw'!$B$5:$AC$5, _xlfn.XLOOKUP($A15,'QB_Funds Analysis raw'!$A$6:$A$104,'QB_Funds Analysis raw'!$B$6:$AC$104))))</f>
        <v>0</v>
      </c>
      <c r="G15" s="142" cm="1">
        <f t="array" ref="G15">IF(ISERROR(_xlfn.XLOOKUP(G$5,'QB_Funds Analysis raw'!$B$5:$AC$5, _xlfn.XLOOKUP($A15,'QB_Funds Analysis raw'!$A$6:$A$104,'QB_Funds Analysis raw'!$B$6:$AC$104))),0,(_xlfn.XLOOKUP(G$5,'QB_Funds Analysis raw'!$B$5:$AC$5, _xlfn.XLOOKUP($A15,'QB_Funds Analysis raw'!$A$6:$A$104,'QB_Funds Analysis raw'!$B$6:$AC$104))))</f>
        <v>0</v>
      </c>
      <c r="H15" s="142" cm="1">
        <f t="array" ref="H15">IF(ISERROR(_xlfn.XLOOKUP(H$5,'QB_Funds Analysis raw'!$B$5:$AC$5, _xlfn.XLOOKUP($A15,'QB_Funds Analysis raw'!$A$6:$A$104,'QB_Funds Analysis raw'!$B$6:$AC$104))),0,(_xlfn.XLOOKUP(H$5,'QB_Funds Analysis raw'!$B$5:$AC$5, _xlfn.XLOOKUP($A15,'QB_Funds Analysis raw'!$A$6:$A$104,'QB_Funds Analysis raw'!$B$6:$AC$104))))</f>
        <v>0</v>
      </c>
      <c r="I15" s="142" cm="1">
        <f t="array" ref="I15">IF(ISERROR(_xlfn.XLOOKUP(I$5,'QB_Funds Analysis raw'!$B$5:$AC$5, _xlfn.XLOOKUP($A15,'QB_Funds Analysis raw'!$A$6:$A$104,'QB_Funds Analysis raw'!$B$6:$AC$104))),0,(_xlfn.XLOOKUP(I$5,'QB_Funds Analysis raw'!$B$5:$AC$5, _xlfn.XLOOKUP($A15,'QB_Funds Analysis raw'!$A$6:$A$104,'QB_Funds Analysis raw'!$B$6:$AC$104))))</f>
        <v>0</v>
      </c>
      <c r="J15" s="142" cm="1">
        <f t="array" ref="J15">IF(ISERROR(_xlfn.XLOOKUP(J$5,'QB_Funds Analysis raw'!$B$5:$AC$5, _xlfn.XLOOKUP($A15,'QB_Funds Analysis raw'!$A$6:$A$104,'QB_Funds Analysis raw'!$B$6:$AC$104))),0,(_xlfn.XLOOKUP(J$5,'QB_Funds Analysis raw'!$B$5:$AC$5, _xlfn.XLOOKUP($A15,'QB_Funds Analysis raw'!$A$6:$A$104,'QB_Funds Analysis raw'!$B$6:$AC$104))))</f>
        <v>0</v>
      </c>
      <c r="K15" s="252" cm="1">
        <f t="array" ref="K15">IF(ISERROR(_xlfn.XLOOKUP(K$5,'QB_Funds Analysis raw'!$B$5:$AC$5, _xlfn.XLOOKUP($A15,'QB_Funds Analysis raw'!$A$6:$A$104,'QB_Funds Analysis raw'!$B$6:$AC$104))),0,(_xlfn.XLOOKUP(K$5,'QB_Funds Analysis raw'!$B$5:$AC$5, _xlfn.XLOOKUP($A15,'QB_Funds Analysis raw'!$A$6:$A$104,'QB_Funds Analysis raw'!$B$6:$AC$104))))</f>
        <v>0</v>
      </c>
      <c r="L15" s="142" cm="1">
        <f t="array" ref="L15">IF(ISERROR(_xlfn.XLOOKUP(L$5,'QB_Funds Analysis raw'!$B$5:$AC$5, _xlfn.XLOOKUP($A15,'QB_Funds Analysis raw'!$A$6:$A$104,'QB_Funds Analysis raw'!$B$6:$AC$104))),0,(_xlfn.XLOOKUP(L$5,'QB_Funds Analysis raw'!$B$5:$AC$5, _xlfn.XLOOKUP($A15,'QB_Funds Analysis raw'!$A$6:$A$104,'QB_Funds Analysis raw'!$B$6:$AC$104))))</f>
        <v>0</v>
      </c>
      <c r="M15" s="142" cm="1">
        <f t="array" ref="M15">IF(ISERROR(_xlfn.XLOOKUP(M$5,'QB_Funds Analysis raw'!$B$5:$AC$5, _xlfn.XLOOKUP($A15,'QB_Funds Analysis raw'!$A$6:$A$104,'QB_Funds Analysis raw'!$B$6:$AC$104))),0,(_xlfn.XLOOKUP(M$5,'QB_Funds Analysis raw'!$B$5:$AC$5, _xlfn.XLOOKUP($A15,'QB_Funds Analysis raw'!$A$6:$A$104,'QB_Funds Analysis raw'!$B$6:$AC$104))))</f>
        <v>0</v>
      </c>
      <c r="N15" s="252" cm="1">
        <f t="array" ref="N15">IF(ISERROR(_xlfn.XLOOKUP(N$5,'QB_Funds Analysis raw'!$B$5:$AC$5, _xlfn.XLOOKUP($A15,'QB_Funds Analysis raw'!$A$6:$A$104,'QB_Funds Analysis raw'!$B$6:$AC$104))),0,(_xlfn.XLOOKUP(N$5,'QB_Funds Analysis raw'!$B$5:$AC$5, _xlfn.XLOOKUP($A15,'QB_Funds Analysis raw'!$A$6:$A$104,'QB_Funds Analysis raw'!$B$6:$AC$104))))</f>
        <v>0</v>
      </c>
      <c r="O15" s="252" cm="1">
        <f t="array" ref="O15">IF(ISERROR(_xlfn.XLOOKUP(O$5,'QB_Funds Analysis raw'!$B$5:$AC$5, _xlfn.XLOOKUP($A15,'QB_Funds Analysis raw'!$A$6:$A$104,'QB_Funds Analysis raw'!$B$6:$AC$104))),0,(_xlfn.XLOOKUP(O$5,'QB_Funds Analysis raw'!$B$5:$AC$5, _xlfn.XLOOKUP($A15,'QB_Funds Analysis raw'!$A$6:$A$104,'QB_Funds Analysis raw'!$B$6:$AC$104))))</f>
        <v>0</v>
      </c>
      <c r="P15" s="142" cm="1">
        <f t="array" ref="P15">IF(ISERROR(_xlfn.XLOOKUP(P$5,'QB_Funds Analysis raw'!$B$5:$AC$5, _xlfn.XLOOKUP($A15,'QB_Funds Analysis raw'!$A$6:$A$104,'QB_Funds Analysis raw'!$B$6:$AC$104))),0,(_xlfn.XLOOKUP(P$5,'QB_Funds Analysis raw'!$B$5:$AC$5, _xlfn.XLOOKUP($A15,'QB_Funds Analysis raw'!$A$6:$A$104,'QB_Funds Analysis raw'!$B$6:$AC$104))))</f>
        <v>0</v>
      </c>
      <c r="Q15" s="247" cm="1">
        <f t="array" ref="Q15">IF(ISERROR(_xlfn.XLOOKUP(Q$5,'QB_Funds Analysis raw'!$B$5:$AC$5, _xlfn.XLOOKUP($A15,'QB_Funds Analysis raw'!$A$6:$A$104,'QB_Funds Analysis raw'!$B$6:$AC$104))),0,(_xlfn.XLOOKUP(Q$5,'QB_Funds Analysis raw'!$B$5:$AC$5, _xlfn.XLOOKUP($A15,'QB_Funds Analysis raw'!$A$6:$A$104,'QB_Funds Analysis raw'!$B$6:$AC$104))))</f>
        <v>0</v>
      </c>
      <c r="R15" s="142" cm="1">
        <f t="array" ref="R15">IF(ISERROR(_xlfn.XLOOKUP(R$5,'QB_Funds Analysis raw'!$B$5:$AC$5, _xlfn.XLOOKUP($A15,'QB_Funds Analysis raw'!$A$6:$A$104,'QB_Funds Analysis raw'!$B$6:$AC$104))),0,(_xlfn.XLOOKUP(R$5,'QB_Funds Analysis raw'!$B$5:$AC$5, _xlfn.XLOOKUP($A15,'QB_Funds Analysis raw'!$A$6:$A$104,'QB_Funds Analysis raw'!$B$6:$AC$104))))</f>
        <v>0</v>
      </c>
      <c r="S15" s="142" cm="1">
        <f t="array" ref="S15">IF(ISERROR(_xlfn.XLOOKUP(S$5,'QB_Funds Analysis raw'!$B$5:$AC$5, _xlfn.XLOOKUP($A15,'QB_Funds Analysis raw'!$A$6:$A$104,'QB_Funds Analysis raw'!$B$6:$AC$104))),0,(_xlfn.XLOOKUP(S$5,'QB_Funds Analysis raw'!$B$5:$AC$5, _xlfn.XLOOKUP($A15,'QB_Funds Analysis raw'!$A$6:$A$104,'QB_Funds Analysis raw'!$B$6:$AC$104))))</f>
        <v>0</v>
      </c>
      <c r="T15" s="142" cm="1">
        <f t="array" ref="T15">IF(ISERROR(_xlfn.XLOOKUP(T$5,'QB_Funds Analysis raw'!$B$5:$AC$5, _xlfn.XLOOKUP($A15,'QB_Funds Analysis raw'!$A$6:$A$104,'QB_Funds Analysis raw'!$B$6:$AC$104))),0,(_xlfn.XLOOKUP(T$5,'QB_Funds Analysis raw'!$B$5:$AC$5, _xlfn.XLOOKUP($A15,'QB_Funds Analysis raw'!$A$6:$A$104,'QB_Funds Analysis raw'!$B$6:$AC$104))))</f>
        <v>0</v>
      </c>
      <c r="U15" s="142" cm="1">
        <f t="array" ref="U15">IF(ISERROR(_xlfn.XLOOKUP(U$5,'QB_Funds Analysis raw'!$B$5:$AC$5, _xlfn.XLOOKUP($A15,'QB_Funds Analysis raw'!$A$6:$A$104,'QB_Funds Analysis raw'!$B$6:$AC$104))),0,(_xlfn.XLOOKUP(U$5,'QB_Funds Analysis raw'!$B$5:$AC$5, _xlfn.XLOOKUP($A15,'QB_Funds Analysis raw'!$A$6:$A$104,'QB_Funds Analysis raw'!$B$6:$AC$104))))</f>
        <v>0</v>
      </c>
      <c r="V15" s="142" cm="1">
        <f t="array" ref="V15">IF(ISERROR(_xlfn.XLOOKUP(V$5,'QB_Funds Analysis raw'!$B$5:$AC$5, _xlfn.XLOOKUP($A15,'QB_Funds Analysis raw'!$A$6:$A$104,'QB_Funds Analysis raw'!$B$6:$AC$104))),0,(_xlfn.XLOOKUP(V$5,'QB_Funds Analysis raw'!$B$5:$AC$5, _xlfn.XLOOKUP($A15,'QB_Funds Analysis raw'!$A$6:$A$104,'QB_Funds Analysis raw'!$B$6:$AC$104))))</f>
        <v>0</v>
      </c>
      <c r="W15" s="142" cm="1">
        <f t="array" ref="W15">IF(ISERROR(_xlfn.XLOOKUP(W$5,'QB_Funds Analysis raw'!$B$5:$AC$5, _xlfn.XLOOKUP($A15,'QB_Funds Analysis raw'!$A$6:$A$104,'QB_Funds Analysis raw'!$B$6:$AC$104))),0,(_xlfn.XLOOKUP(W$5,'QB_Funds Analysis raw'!$B$5:$AC$5, _xlfn.XLOOKUP($A15,'QB_Funds Analysis raw'!$A$6:$A$104,'QB_Funds Analysis raw'!$B$6:$AC$104))))</f>
        <v>0</v>
      </c>
      <c r="X15" s="142" cm="1">
        <f t="array" ref="X15">IF(ISERROR(_xlfn.XLOOKUP(X$5,'QB_Funds Analysis raw'!$B$5:$AC$5, _xlfn.XLOOKUP($A15,'QB_Funds Analysis raw'!$A$6:$A$104,'QB_Funds Analysis raw'!$B$6:$AC$104))),0,(_xlfn.XLOOKUP(X$5,'QB_Funds Analysis raw'!$B$5:$AC$5, _xlfn.XLOOKUP($A15,'QB_Funds Analysis raw'!$A$6:$A$104,'QB_Funds Analysis raw'!$B$6:$AC$104))))</f>
        <v>0</v>
      </c>
      <c r="Y15" s="142" cm="1">
        <f t="array" ref="Y15">IF(ISERROR(_xlfn.XLOOKUP(Y$5,'QB_Funds Analysis raw'!$B$5:$AC$5, _xlfn.XLOOKUP($A15,'QB_Funds Analysis raw'!$A$6:$A$104,'QB_Funds Analysis raw'!$B$6:$AC$104))),0,(_xlfn.XLOOKUP(Y$5,'QB_Funds Analysis raw'!$B$5:$AC$5, _xlfn.XLOOKUP($A15,'QB_Funds Analysis raw'!$A$6:$A$104,'QB_Funds Analysis raw'!$B$6:$AC$104))))</f>
        <v>0</v>
      </c>
      <c r="Z15" s="142" cm="1">
        <f t="array" ref="Z15">IF(ISERROR(_xlfn.XLOOKUP(Z$5,'QB_Funds Analysis raw'!$B$5:$AC$5, _xlfn.XLOOKUP($A15,'QB_Funds Analysis raw'!$A$6:$A$104,'QB_Funds Analysis raw'!$B$6:$AC$104))),0,(_xlfn.XLOOKUP(Z$5,'QB_Funds Analysis raw'!$B$5:$AC$5, _xlfn.XLOOKUP($A15,'QB_Funds Analysis raw'!$A$6:$A$104,'QB_Funds Analysis raw'!$B$6:$AC$104))))</f>
        <v>0</v>
      </c>
      <c r="AA15" s="142" cm="1">
        <f t="array" ref="AA15">IF(ISERROR(_xlfn.XLOOKUP(AA$5,'QB_Funds Analysis raw'!$B$5:$AC$5, _xlfn.XLOOKUP($A15,'QB_Funds Analysis raw'!$A$6:$A$104,'QB_Funds Analysis raw'!$B$6:$AC$104))),0,(_xlfn.XLOOKUP(AA$5,'QB_Funds Analysis raw'!$B$5:$AC$5, _xlfn.XLOOKUP($A15,'QB_Funds Analysis raw'!$A$6:$A$104,'QB_Funds Analysis raw'!$B$6:$AC$104))))</f>
        <v>0</v>
      </c>
      <c r="AB15" s="142" cm="1">
        <f t="array" ref="AB15">IF(ISERROR(_xlfn.XLOOKUP(AB$5,'QB_Funds Analysis raw'!$B$5:$AC$5, _xlfn.XLOOKUP($A15,'QB_Funds Analysis raw'!$A$6:$A$104,'QB_Funds Analysis raw'!$B$6:$AC$104))),0,(_xlfn.XLOOKUP(AB$5,'QB_Funds Analysis raw'!$B$5:$AC$5, _xlfn.XLOOKUP($A15,'QB_Funds Analysis raw'!$A$6:$A$104,'QB_Funds Analysis raw'!$B$6:$AC$104))))</f>
        <v>4004.71</v>
      </c>
      <c r="AC15" s="142" cm="1">
        <f t="array" ref="AC15">IF(ISERROR(_xlfn.XLOOKUP(AC$5,'QB_Funds Analysis raw'!$B$5:$AC$5, _xlfn.XLOOKUP($A15,'QB_Funds Analysis raw'!$A$6:$A$104,'QB_Funds Analysis raw'!$B$6:$AC$104))),0,(_xlfn.XLOOKUP(AC$5,'QB_Funds Analysis raw'!$B$5:$AC$5, _xlfn.XLOOKUP($A15,'QB_Funds Analysis raw'!$A$6:$A$104,'QB_Funds Analysis raw'!$B$6:$AC$104))))</f>
        <v>4004.71</v>
      </c>
      <c r="AD15" s="167">
        <f t="shared" si="0"/>
        <v>4004.71</v>
      </c>
      <c r="AE15" s="167">
        <f t="shared" si="4"/>
        <v>0</v>
      </c>
    </row>
    <row r="16" spans="1:31" ht="20.25" customHeight="1" x14ac:dyDescent="0.25">
      <c r="A16" s="134" t="s">
        <v>26</v>
      </c>
      <c r="B16" s="166">
        <f t="shared" ref="B16" si="5">(B14)+(B15)+B13+B12</f>
        <v>0</v>
      </c>
      <c r="C16" s="166">
        <f t="shared" ref="C16:AC16" si="6">(C14)+(C15)+C13+C12</f>
        <v>0</v>
      </c>
      <c r="D16" s="254">
        <f t="shared" si="6"/>
        <v>0</v>
      </c>
      <c r="E16" s="166">
        <f t="shared" si="6"/>
        <v>0</v>
      </c>
      <c r="F16" s="166">
        <f t="shared" si="6"/>
        <v>0</v>
      </c>
      <c r="G16" s="166">
        <f t="shared" si="6"/>
        <v>0</v>
      </c>
      <c r="H16" s="166">
        <f t="shared" si="6"/>
        <v>165</v>
      </c>
      <c r="I16" s="166">
        <f t="shared" si="6"/>
        <v>0</v>
      </c>
      <c r="J16" s="166">
        <f t="shared" si="6"/>
        <v>0</v>
      </c>
      <c r="K16" s="254">
        <f t="shared" si="6"/>
        <v>0</v>
      </c>
      <c r="L16" s="166">
        <f t="shared" si="6"/>
        <v>0</v>
      </c>
      <c r="M16" s="166">
        <f t="shared" si="6"/>
        <v>0</v>
      </c>
      <c r="N16" s="254">
        <f t="shared" si="6"/>
        <v>0</v>
      </c>
      <c r="O16" s="254">
        <f t="shared" si="6"/>
        <v>0</v>
      </c>
      <c r="P16" s="166">
        <f t="shared" si="6"/>
        <v>0</v>
      </c>
      <c r="Q16" s="248">
        <f t="shared" si="6"/>
        <v>0</v>
      </c>
      <c r="R16" s="166">
        <f t="shared" si="6"/>
        <v>0</v>
      </c>
      <c r="S16" s="166">
        <f t="shared" si="6"/>
        <v>0</v>
      </c>
      <c r="T16" s="166">
        <f t="shared" si="6"/>
        <v>0</v>
      </c>
      <c r="U16" s="166">
        <f t="shared" si="6"/>
        <v>0</v>
      </c>
      <c r="V16" s="166">
        <f t="shared" si="6"/>
        <v>0</v>
      </c>
      <c r="W16" s="166">
        <f t="shared" si="6"/>
        <v>0</v>
      </c>
      <c r="X16" s="166">
        <f t="shared" si="6"/>
        <v>0</v>
      </c>
      <c r="Y16" s="166">
        <f t="shared" si="6"/>
        <v>0</v>
      </c>
      <c r="Z16" s="166">
        <f t="shared" si="6"/>
        <v>0</v>
      </c>
      <c r="AA16" s="166">
        <f t="shared" si="6"/>
        <v>0</v>
      </c>
      <c r="AB16" s="166">
        <f t="shared" si="6"/>
        <v>72149.66</v>
      </c>
      <c r="AC16" s="166">
        <f t="shared" si="6"/>
        <v>72149.66</v>
      </c>
      <c r="AD16" s="167">
        <f t="shared" si="0"/>
        <v>72149.66</v>
      </c>
      <c r="AE16" s="167">
        <f t="shared" si="4"/>
        <v>0</v>
      </c>
    </row>
    <row r="17" spans="1:31" ht="20.25" customHeight="1" x14ac:dyDescent="0.25">
      <c r="A17" s="2"/>
      <c r="B17" s="142" cm="1">
        <f t="array" ref="B17">IF(ISERROR(_xlfn.XLOOKUP(B$5,'QB_Funds Analysis raw'!$B$5:$AC$5, _xlfn.XLOOKUP($A17,'QB_Funds Analysis raw'!$A$6:$A$104,'QB_Funds Analysis raw'!$B$6:$AC$104))),0,(_xlfn.XLOOKUP(B$5,'QB_Funds Analysis raw'!$B$5:$AC$5, _xlfn.XLOOKUP($A17,'QB_Funds Analysis raw'!$A$6:$A$104,'QB_Funds Analysis raw'!$B$6:$AC$104))))</f>
        <v>0</v>
      </c>
      <c r="C17" s="142" cm="1">
        <f t="array" ref="C17">IF(ISERROR(_xlfn.XLOOKUP(C$5,'QB_Funds Analysis raw'!$B$5:$AC$5, _xlfn.XLOOKUP($A17,'QB_Funds Analysis raw'!$A$6:$A$104,'QB_Funds Analysis raw'!$B$6:$AC$104))),0,(_xlfn.XLOOKUP(C$5,'QB_Funds Analysis raw'!$B$5:$AC$5, _xlfn.XLOOKUP($A17,'QB_Funds Analysis raw'!$A$6:$A$104,'QB_Funds Analysis raw'!$B$6:$AC$104))))</f>
        <v>0</v>
      </c>
      <c r="D17" s="252" cm="1">
        <f t="array" ref="D17">IF(ISERROR(_xlfn.XLOOKUP(D$5,'QB_Funds Analysis raw'!$B$5:$AC$5, _xlfn.XLOOKUP($A17,'QB_Funds Analysis raw'!$A$6:$A$104,'QB_Funds Analysis raw'!$B$6:$AC$104))),0,(_xlfn.XLOOKUP(D$5,'QB_Funds Analysis raw'!$B$5:$AC$5, _xlfn.XLOOKUP($A17,'QB_Funds Analysis raw'!$A$6:$A$104,'QB_Funds Analysis raw'!$B$6:$AC$104))))</f>
        <v>0</v>
      </c>
      <c r="E17" s="142" cm="1">
        <f t="array" ref="E17">IF(ISERROR(_xlfn.XLOOKUP(E$5,'QB_Funds Analysis raw'!$B$5:$AC$5, _xlfn.XLOOKUP($A17,'QB_Funds Analysis raw'!$A$6:$A$104,'QB_Funds Analysis raw'!$B$6:$AC$104))),0,(_xlfn.XLOOKUP(E$5,'QB_Funds Analysis raw'!$B$5:$AC$5, _xlfn.XLOOKUP($A17,'QB_Funds Analysis raw'!$A$6:$A$104,'QB_Funds Analysis raw'!$B$6:$AC$104))))</f>
        <v>0</v>
      </c>
      <c r="F17" s="142" cm="1">
        <f t="array" ref="F17">IF(ISERROR(_xlfn.XLOOKUP(F$5,'QB_Funds Analysis raw'!$B$5:$AC$5, _xlfn.XLOOKUP($A17,'QB_Funds Analysis raw'!$A$6:$A$104,'QB_Funds Analysis raw'!$B$6:$AC$104))),0,(_xlfn.XLOOKUP(F$5,'QB_Funds Analysis raw'!$B$5:$AC$5, _xlfn.XLOOKUP($A17,'QB_Funds Analysis raw'!$A$6:$A$104,'QB_Funds Analysis raw'!$B$6:$AC$104))))</f>
        <v>0</v>
      </c>
      <c r="G17" s="142" cm="1">
        <f t="array" ref="G17">IF(ISERROR(_xlfn.XLOOKUP(G$5,'QB_Funds Analysis raw'!$B$5:$AC$5, _xlfn.XLOOKUP($A17,'QB_Funds Analysis raw'!$A$6:$A$104,'QB_Funds Analysis raw'!$B$6:$AC$104))),0,(_xlfn.XLOOKUP(G$5,'QB_Funds Analysis raw'!$B$5:$AC$5, _xlfn.XLOOKUP($A17,'QB_Funds Analysis raw'!$A$6:$A$104,'QB_Funds Analysis raw'!$B$6:$AC$104))))</f>
        <v>0</v>
      </c>
      <c r="H17" s="142" cm="1">
        <f t="array" ref="H17">IF(ISERROR(_xlfn.XLOOKUP(H$5,'QB_Funds Analysis raw'!$B$5:$AC$5, _xlfn.XLOOKUP($A17,'QB_Funds Analysis raw'!$A$6:$A$104,'QB_Funds Analysis raw'!$B$6:$AC$104))),0,(_xlfn.XLOOKUP(H$5,'QB_Funds Analysis raw'!$B$5:$AC$5, _xlfn.XLOOKUP($A17,'QB_Funds Analysis raw'!$A$6:$A$104,'QB_Funds Analysis raw'!$B$6:$AC$104))))</f>
        <v>0</v>
      </c>
      <c r="I17" s="142" cm="1">
        <f t="array" ref="I17">IF(ISERROR(_xlfn.XLOOKUP(I$5,'QB_Funds Analysis raw'!$B$5:$AC$5, _xlfn.XLOOKUP($A17,'QB_Funds Analysis raw'!$A$6:$A$104,'QB_Funds Analysis raw'!$B$6:$AC$104))),0,(_xlfn.XLOOKUP(I$5,'QB_Funds Analysis raw'!$B$5:$AC$5, _xlfn.XLOOKUP($A17,'QB_Funds Analysis raw'!$A$6:$A$104,'QB_Funds Analysis raw'!$B$6:$AC$104))))</f>
        <v>0</v>
      </c>
      <c r="J17" s="142" cm="1">
        <f t="array" ref="J17">IF(ISERROR(_xlfn.XLOOKUP(J$5,'QB_Funds Analysis raw'!$B$5:$AC$5, _xlfn.XLOOKUP($A17,'QB_Funds Analysis raw'!$A$6:$A$104,'QB_Funds Analysis raw'!$B$6:$AC$104))),0,(_xlfn.XLOOKUP(J$5,'QB_Funds Analysis raw'!$B$5:$AC$5, _xlfn.XLOOKUP($A17,'QB_Funds Analysis raw'!$A$6:$A$104,'QB_Funds Analysis raw'!$B$6:$AC$104))))</f>
        <v>0</v>
      </c>
      <c r="K17" s="252" cm="1">
        <f t="array" ref="K17">IF(ISERROR(_xlfn.XLOOKUP(K$5,'QB_Funds Analysis raw'!$B$5:$AC$5, _xlfn.XLOOKUP($A17,'QB_Funds Analysis raw'!$A$6:$A$104,'QB_Funds Analysis raw'!$B$6:$AC$104))),0,(_xlfn.XLOOKUP(K$5,'QB_Funds Analysis raw'!$B$5:$AC$5, _xlfn.XLOOKUP($A17,'QB_Funds Analysis raw'!$A$6:$A$104,'QB_Funds Analysis raw'!$B$6:$AC$104))))</f>
        <v>0</v>
      </c>
      <c r="L17" s="142" cm="1">
        <f t="array" ref="L17">IF(ISERROR(_xlfn.XLOOKUP(L$5,'QB_Funds Analysis raw'!$B$5:$AC$5, _xlfn.XLOOKUP($A17,'QB_Funds Analysis raw'!$A$6:$A$104,'QB_Funds Analysis raw'!$B$6:$AC$104))),0,(_xlfn.XLOOKUP(L$5,'QB_Funds Analysis raw'!$B$5:$AC$5, _xlfn.XLOOKUP($A17,'QB_Funds Analysis raw'!$A$6:$A$104,'QB_Funds Analysis raw'!$B$6:$AC$104))))</f>
        <v>0</v>
      </c>
      <c r="M17" s="142" cm="1">
        <f t="array" ref="M17">IF(ISERROR(_xlfn.XLOOKUP(M$5,'QB_Funds Analysis raw'!$B$5:$AC$5, _xlfn.XLOOKUP($A17,'QB_Funds Analysis raw'!$A$6:$A$104,'QB_Funds Analysis raw'!$B$6:$AC$104))),0,(_xlfn.XLOOKUP(M$5,'QB_Funds Analysis raw'!$B$5:$AC$5, _xlfn.XLOOKUP($A17,'QB_Funds Analysis raw'!$A$6:$A$104,'QB_Funds Analysis raw'!$B$6:$AC$104))))</f>
        <v>0</v>
      </c>
      <c r="N17" s="252" cm="1">
        <f t="array" ref="N17">IF(ISERROR(_xlfn.XLOOKUP(N$5,'QB_Funds Analysis raw'!$B$5:$AC$5, _xlfn.XLOOKUP($A17,'QB_Funds Analysis raw'!$A$6:$A$104,'QB_Funds Analysis raw'!$B$6:$AC$104))),0,(_xlfn.XLOOKUP(N$5,'QB_Funds Analysis raw'!$B$5:$AC$5, _xlfn.XLOOKUP($A17,'QB_Funds Analysis raw'!$A$6:$A$104,'QB_Funds Analysis raw'!$B$6:$AC$104))))</f>
        <v>0</v>
      </c>
      <c r="O17" s="252" cm="1">
        <f t="array" ref="O17">IF(ISERROR(_xlfn.XLOOKUP(O$5,'QB_Funds Analysis raw'!$B$5:$AC$5, _xlfn.XLOOKUP($A17,'QB_Funds Analysis raw'!$A$6:$A$104,'QB_Funds Analysis raw'!$B$6:$AC$104))),0,(_xlfn.XLOOKUP(O$5,'QB_Funds Analysis raw'!$B$5:$AC$5, _xlfn.XLOOKUP($A17,'QB_Funds Analysis raw'!$A$6:$A$104,'QB_Funds Analysis raw'!$B$6:$AC$104))))</f>
        <v>0</v>
      </c>
      <c r="P17" s="142" cm="1">
        <f t="array" ref="P17">IF(ISERROR(_xlfn.XLOOKUP(P$5,'QB_Funds Analysis raw'!$B$5:$AC$5, _xlfn.XLOOKUP($A17,'QB_Funds Analysis raw'!$A$6:$A$104,'QB_Funds Analysis raw'!$B$6:$AC$104))),0,(_xlfn.XLOOKUP(P$5,'QB_Funds Analysis raw'!$B$5:$AC$5, _xlfn.XLOOKUP($A17,'QB_Funds Analysis raw'!$A$6:$A$104,'QB_Funds Analysis raw'!$B$6:$AC$104))))</f>
        <v>0</v>
      </c>
      <c r="Q17" s="247" cm="1">
        <f t="array" ref="Q17">IF(ISERROR(_xlfn.XLOOKUP(Q$5,'QB_Funds Analysis raw'!$B$5:$AC$5, _xlfn.XLOOKUP($A17,'QB_Funds Analysis raw'!$A$6:$A$104,'QB_Funds Analysis raw'!$B$6:$AC$104))),0,(_xlfn.XLOOKUP(Q$5,'QB_Funds Analysis raw'!$B$5:$AC$5, _xlfn.XLOOKUP($A17,'QB_Funds Analysis raw'!$A$6:$A$104,'QB_Funds Analysis raw'!$B$6:$AC$104))))</f>
        <v>0</v>
      </c>
      <c r="R17" s="142" cm="1">
        <f t="array" ref="R17">IF(ISERROR(_xlfn.XLOOKUP(R$5,'QB_Funds Analysis raw'!$B$5:$AC$5, _xlfn.XLOOKUP($A17,'QB_Funds Analysis raw'!$A$6:$A$104,'QB_Funds Analysis raw'!$B$6:$AC$104))),0,(_xlfn.XLOOKUP(R$5,'QB_Funds Analysis raw'!$B$5:$AC$5, _xlfn.XLOOKUP($A17,'QB_Funds Analysis raw'!$A$6:$A$104,'QB_Funds Analysis raw'!$B$6:$AC$104))))</f>
        <v>0</v>
      </c>
      <c r="S17" s="142" cm="1">
        <f t="array" ref="S17">IF(ISERROR(_xlfn.XLOOKUP(S$5,'QB_Funds Analysis raw'!$B$5:$AC$5, _xlfn.XLOOKUP($A17,'QB_Funds Analysis raw'!$A$6:$A$104,'QB_Funds Analysis raw'!$B$6:$AC$104))),0,(_xlfn.XLOOKUP(S$5,'QB_Funds Analysis raw'!$B$5:$AC$5, _xlfn.XLOOKUP($A17,'QB_Funds Analysis raw'!$A$6:$A$104,'QB_Funds Analysis raw'!$B$6:$AC$104))))</f>
        <v>0</v>
      </c>
      <c r="T17" s="142" cm="1">
        <f t="array" ref="T17">IF(ISERROR(_xlfn.XLOOKUP(T$5,'QB_Funds Analysis raw'!$B$5:$AC$5, _xlfn.XLOOKUP($A17,'QB_Funds Analysis raw'!$A$6:$A$104,'QB_Funds Analysis raw'!$B$6:$AC$104))),0,(_xlfn.XLOOKUP(T$5,'QB_Funds Analysis raw'!$B$5:$AC$5, _xlfn.XLOOKUP($A17,'QB_Funds Analysis raw'!$A$6:$A$104,'QB_Funds Analysis raw'!$B$6:$AC$104))))</f>
        <v>0</v>
      </c>
      <c r="U17" s="142" cm="1">
        <f t="array" ref="U17">IF(ISERROR(_xlfn.XLOOKUP(U$5,'QB_Funds Analysis raw'!$B$5:$AC$5, _xlfn.XLOOKUP($A17,'QB_Funds Analysis raw'!$A$6:$A$104,'QB_Funds Analysis raw'!$B$6:$AC$104))),0,(_xlfn.XLOOKUP(U$5,'QB_Funds Analysis raw'!$B$5:$AC$5, _xlfn.XLOOKUP($A17,'QB_Funds Analysis raw'!$A$6:$A$104,'QB_Funds Analysis raw'!$B$6:$AC$104))))</f>
        <v>0</v>
      </c>
      <c r="V17" s="142" cm="1">
        <f t="array" ref="V17">IF(ISERROR(_xlfn.XLOOKUP(V$5,'QB_Funds Analysis raw'!$B$5:$AC$5, _xlfn.XLOOKUP($A17,'QB_Funds Analysis raw'!$A$6:$A$104,'QB_Funds Analysis raw'!$B$6:$AC$104))),0,(_xlfn.XLOOKUP(V$5,'QB_Funds Analysis raw'!$B$5:$AC$5, _xlfn.XLOOKUP($A17,'QB_Funds Analysis raw'!$A$6:$A$104,'QB_Funds Analysis raw'!$B$6:$AC$104))))</f>
        <v>0</v>
      </c>
      <c r="W17" s="142" cm="1">
        <f t="array" ref="W17">IF(ISERROR(_xlfn.XLOOKUP(W$5,'QB_Funds Analysis raw'!$B$5:$AC$5, _xlfn.XLOOKUP($A17,'QB_Funds Analysis raw'!$A$6:$A$104,'QB_Funds Analysis raw'!$B$6:$AC$104))),0,(_xlfn.XLOOKUP(W$5,'QB_Funds Analysis raw'!$B$5:$AC$5, _xlfn.XLOOKUP($A17,'QB_Funds Analysis raw'!$A$6:$A$104,'QB_Funds Analysis raw'!$B$6:$AC$104))))</f>
        <v>0</v>
      </c>
      <c r="X17" s="142" cm="1">
        <f t="array" ref="X17">IF(ISERROR(_xlfn.XLOOKUP(X$5,'QB_Funds Analysis raw'!$B$5:$AC$5, _xlfn.XLOOKUP($A17,'QB_Funds Analysis raw'!$A$6:$A$104,'QB_Funds Analysis raw'!$B$6:$AC$104))),0,(_xlfn.XLOOKUP(X$5,'QB_Funds Analysis raw'!$B$5:$AC$5, _xlfn.XLOOKUP($A17,'QB_Funds Analysis raw'!$A$6:$A$104,'QB_Funds Analysis raw'!$B$6:$AC$104))))</f>
        <v>0</v>
      </c>
      <c r="Y17" s="142" cm="1">
        <f t="array" ref="Y17">IF(ISERROR(_xlfn.XLOOKUP(Y$5,'QB_Funds Analysis raw'!$B$5:$AC$5, _xlfn.XLOOKUP($A17,'QB_Funds Analysis raw'!$A$6:$A$104,'QB_Funds Analysis raw'!$B$6:$AC$104))),0,(_xlfn.XLOOKUP(Y$5,'QB_Funds Analysis raw'!$B$5:$AC$5, _xlfn.XLOOKUP($A17,'QB_Funds Analysis raw'!$A$6:$A$104,'QB_Funds Analysis raw'!$B$6:$AC$104))))</f>
        <v>0</v>
      </c>
      <c r="Z17" s="142" cm="1">
        <f t="array" ref="Z17">IF(ISERROR(_xlfn.XLOOKUP(Z$5,'QB_Funds Analysis raw'!$B$5:$AC$5, _xlfn.XLOOKUP($A17,'QB_Funds Analysis raw'!$A$6:$A$104,'QB_Funds Analysis raw'!$B$6:$AC$104))),0,(_xlfn.XLOOKUP(Z$5,'QB_Funds Analysis raw'!$B$5:$AC$5, _xlfn.XLOOKUP($A17,'QB_Funds Analysis raw'!$A$6:$A$104,'QB_Funds Analysis raw'!$B$6:$AC$104))))</f>
        <v>0</v>
      </c>
      <c r="AA17" s="142" cm="1">
        <f t="array" ref="AA17">IF(ISERROR(_xlfn.XLOOKUP(AA$5,'QB_Funds Analysis raw'!$B$5:$AC$5, _xlfn.XLOOKUP($A17,'QB_Funds Analysis raw'!$A$6:$A$104,'QB_Funds Analysis raw'!$B$6:$AC$104))),0,(_xlfn.XLOOKUP(AA$5,'QB_Funds Analysis raw'!$B$5:$AC$5, _xlfn.XLOOKUP($A17,'QB_Funds Analysis raw'!$A$6:$A$104,'QB_Funds Analysis raw'!$B$6:$AC$104))))</f>
        <v>0</v>
      </c>
      <c r="AB17" s="142" cm="1">
        <f t="array" ref="AB17">IF(ISERROR(_xlfn.XLOOKUP(AB$5,'QB_Funds Analysis raw'!$B$5:$AC$5, _xlfn.XLOOKUP($A17,'QB_Funds Analysis raw'!$A$6:$A$104,'QB_Funds Analysis raw'!$B$6:$AC$104))),0,(_xlfn.XLOOKUP(AB$5,'QB_Funds Analysis raw'!$B$5:$AC$5, _xlfn.XLOOKUP($A17,'QB_Funds Analysis raw'!$A$6:$A$104,'QB_Funds Analysis raw'!$B$6:$AC$104))))</f>
        <v>0</v>
      </c>
      <c r="AC17" s="142" cm="1">
        <f t="array" ref="AC17">IF(ISERROR(_xlfn.XLOOKUP(AC$5,'QB_Funds Analysis raw'!$B$5:$AC$5, _xlfn.XLOOKUP($A17,'QB_Funds Analysis raw'!$A$6:$A$104,'QB_Funds Analysis raw'!$B$6:$AC$104))),0,(_xlfn.XLOOKUP(AC$5,'QB_Funds Analysis raw'!$B$5:$AC$5, _xlfn.XLOOKUP($A17,'QB_Funds Analysis raw'!$A$6:$A$104,'QB_Funds Analysis raw'!$B$6:$AC$104))))</f>
        <v>0</v>
      </c>
      <c r="AD17" s="167">
        <f t="shared" si="0"/>
        <v>0</v>
      </c>
      <c r="AE17" s="167">
        <f t="shared" si="4"/>
        <v>0</v>
      </c>
    </row>
    <row r="18" spans="1:31" ht="20.25" customHeight="1" x14ac:dyDescent="0.25">
      <c r="A18" s="2" t="s">
        <v>28</v>
      </c>
      <c r="B18" s="142" cm="1">
        <f t="array" ref="B18">IF(ISERROR(_xlfn.XLOOKUP(B$5,'QB_Funds Analysis raw'!$B$5:$AC$5, _xlfn.XLOOKUP($A18,'QB_Funds Analysis raw'!$A$6:$A$104,'QB_Funds Analysis raw'!$B$6:$AC$104))),0,(_xlfn.XLOOKUP(B$5,'QB_Funds Analysis raw'!$B$5:$AC$5, _xlfn.XLOOKUP($A18,'QB_Funds Analysis raw'!$A$6:$A$104,'QB_Funds Analysis raw'!$B$6:$AC$104))))</f>
        <v>0</v>
      </c>
      <c r="C18" s="142" cm="1">
        <f t="array" ref="C18">IF(ISERROR(_xlfn.XLOOKUP(C$5,'QB_Funds Analysis raw'!$B$5:$AC$5, _xlfn.XLOOKUP($A18,'QB_Funds Analysis raw'!$A$6:$A$104,'QB_Funds Analysis raw'!$B$6:$AC$104))),0,(_xlfn.XLOOKUP(C$5,'QB_Funds Analysis raw'!$B$5:$AC$5, _xlfn.XLOOKUP($A18,'QB_Funds Analysis raw'!$A$6:$A$104,'QB_Funds Analysis raw'!$B$6:$AC$104))))</f>
        <v>0</v>
      </c>
      <c r="D18" s="252" cm="1">
        <f t="array" ref="D18">IF(ISERROR(_xlfn.XLOOKUP(D$5,'QB_Funds Analysis raw'!$B$5:$AC$5, _xlfn.XLOOKUP($A18,'QB_Funds Analysis raw'!$A$6:$A$104,'QB_Funds Analysis raw'!$B$6:$AC$104))),0,(_xlfn.XLOOKUP(D$5,'QB_Funds Analysis raw'!$B$5:$AC$5, _xlfn.XLOOKUP($A18,'QB_Funds Analysis raw'!$A$6:$A$104,'QB_Funds Analysis raw'!$B$6:$AC$104))))</f>
        <v>0</v>
      </c>
      <c r="E18" s="142" cm="1">
        <f t="array" ref="E18">IF(ISERROR(_xlfn.XLOOKUP(E$5,'QB_Funds Analysis raw'!$B$5:$AC$5, _xlfn.XLOOKUP($A18,'QB_Funds Analysis raw'!$A$6:$A$104,'QB_Funds Analysis raw'!$B$6:$AC$104))),0,(_xlfn.XLOOKUP(E$5,'QB_Funds Analysis raw'!$B$5:$AC$5, _xlfn.XLOOKUP($A18,'QB_Funds Analysis raw'!$A$6:$A$104,'QB_Funds Analysis raw'!$B$6:$AC$104))))</f>
        <v>0</v>
      </c>
      <c r="F18" s="142" cm="1">
        <f t="array" ref="F18">IF(ISERROR(_xlfn.XLOOKUP(F$5,'QB_Funds Analysis raw'!$B$5:$AC$5, _xlfn.XLOOKUP($A18,'QB_Funds Analysis raw'!$A$6:$A$104,'QB_Funds Analysis raw'!$B$6:$AC$104))),0,(_xlfn.XLOOKUP(F$5,'QB_Funds Analysis raw'!$B$5:$AC$5, _xlfn.XLOOKUP($A18,'QB_Funds Analysis raw'!$A$6:$A$104,'QB_Funds Analysis raw'!$B$6:$AC$104))))</f>
        <v>0</v>
      </c>
      <c r="G18" s="142" cm="1">
        <f t="array" ref="G18">IF(ISERROR(_xlfn.XLOOKUP(G$5,'QB_Funds Analysis raw'!$B$5:$AC$5, _xlfn.XLOOKUP($A18,'QB_Funds Analysis raw'!$A$6:$A$104,'QB_Funds Analysis raw'!$B$6:$AC$104))),0,(_xlfn.XLOOKUP(G$5,'QB_Funds Analysis raw'!$B$5:$AC$5, _xlfn.XLOOKUP($A18,'QB_Funds Analysis raw'!$A$6:$A$104,'QB_Funds Analysis raw'!$B$6:$AC$104))))</f>
        <v>0</v>
      </c>
      <c r="H18" s="142" cm="1">
        <f t="array" ref="H18">IF(ISERROR(_xlfn.XLOOKUP(H$5,'QB_Funds Analysis raw'!$B$5:$AC$5, _xlfn.XLOOKUP($A18,'QB_Funds Analysis raw'!$A$6:$A$104,'QB_Funds Analysis raw'!$B$6:$AC$104))),0,(_xlfn.XLOOKUP(H$5,'QB_Funds Analysis raw'!$B$5:$AC$5, _xlfn.XLOOKUP($A18,'QB_Funds Analysis raw'!$A$6:$A$104,'QB_Funds Analysis raw'!$B$6:$AC$104))))</f>
        <v>0</v>
      </c>
      <c r="I18" s="142" cm="1">
        <f t="array" ref="I18">IF(ISERROR(_xlfn.XLOOKUP(I$5,'QB_Funds Analysis raw'!$B$5:$AC$5, _xlfn.XLOOKUP($A18,'QB_Funds Analysis raw'!$A$6:$A$104,'QB_Funds Analysis raw'!$B$6:$AC$104))),0,(_xlfn.XLOOKUP(I$5,'QB_Funds Analysis raw'!$B$5:$AC$5, _xlfn.XLOOKUP($A18,'QB_Funds Analysis raw'!$A$6:$A$104,'QB_Funds Analysis raw'!$B$6:$AC$104))))</f>
        <v>0</v>
      </c>
      <c r="J18" s="142" cm="1">
        <f t="array" ref="J18">IF(ISERROR(_xlfn.XLOOKUP(J$5,'QB_Funds Analysis raw'!$B$5:$AC$5, _xlfn.XLOOKUP($A18,'QB_Funds Analysis raw'!$A$6:$A$104,'QB_Funds Analysis raw'!$B$6:$AC$104))),0,(_xlfn.XLOOKUP(J$5,'QB_Funds Analysis raw'!$B$5:$AC$5, _xlfn.XLOOKUP($A18,'QB_Funds Analysis raw'!$A$6:$A$104,'QB_Funds Analysis raw'!$B$6:$AC$104))))</f>
        <v>19.190000000000001</v>
      </c>
      <c r="K18" s="252" cm="1">
        <f t="array" ref="K18">IF(ISERROR(_xlfn.XLOOKUP(K$5,'QB_Funds Analysis raw'!$B$5:$AC$5, _xlfn.XLOOKUP($A18,'QB_Funds Analysis raw'!$A$6:$A$104,'QB_Funds Analysis raw'!$B$6:$AC$104))),0,(_xlfn.XLOOKUP(K$5,'QB_Funds Analysis raw'!$B$5:$AC$5, _xlfn.XLOOKUP($A18,'QB_Funds Analysis raw'!$A$6:$A$104,'QB_Funds Analysis raw'!$B$6:$AC$104))))</f>
        <v>0</v>
      </c>
      <c r="L18" s="142" cm="1">
        <f t="array" ref="L18">IF(ISERROR(_xlfn.XLOOKUP(L$5,'QB_Funds Analysis raw'!$B$5:$AC$5, _xlfn.XLOOKUP($A18,'QB_Funds Analysis raw'!$A$6:$A$104,'QB_Funds Analysis raw'!$B$6:$AC$104))),0,(_xlfn.XLOOKUP(L$5,'QB_Funds Analysis raw'!$B$5:$AC$5, _xlfn.XLOOKUP($A18,'QB_Funds Analysis raw'!$A$6:$A$104,'QB_Funds Analysis raw'!$B$6:$AC$104))))</f>
        <v>0</v>
      </c>
      <c r="M18" s="142" cm="1">
        <f t="array" ref="M18">IF(ISERROR(_xlfn.XLOOKUP(M$5,'QB_Funds Analysis raw'!$B$5:$AC$5, _xlfn.XLOOKUP($A18,'QB_Funds Analysis raw'!$A$6:$A$104,'QB_Funds Analysis raw'!$B$6:$AC$104))),0,(_xlfn.XLOOKUP(M$5,'QB_Funds Analysis raw'!$B$5:$AC$5, _xlfn.XLOOKUP($A18,'QB_Funds Analysis raw'!$A$6:$A$104,'QB_Funds Analysis raw'!$B$6:$AC$104))))</f>
        <v>0</v>
      </c>
      <c r="N18" s="252" cm="1">
        <f t="array" ref="N18">IF(ISERROR(_xlfn.XLOOKUP(N$5,'QB_Funds Analysis raw'!$B$5:$AC$5, _xlfn.XLOOKUP($A18,'QB_Funds Analysis raw'!$A$6:$A$104,'QB_Funds Analysis raw'!$B$6:$AC$104))),0,(_xlfn.XLOOKUP(N$5,'QB_Funds Analysis raw'!$B$5:$AC$5, _xlfn.XLOOKUP($A18,'QB_Funds Analysis raw'!$A$6:$A$104,'QB_Funds Analysis raw'!$B$6:$AC$104))))</f>
        <v>0</v>
      </c>
      <c r="O18" s="252" cm="1">
        <f t="array" ref="O18">IF(ISERROR(_xlfn.XLOOKUP(O$5,'QB_Funds Analysis raw'!$B$5:$AC$5, _xlfn.XLOOKUP($A18,'QB_Funds Analysis raw'!$A$6:$A$104,'QB_Funds Analysis raw'!$B$6:$AC$104))),0,(_xlfn.XLOOKUP(O$5,'QB_Funds Analysis raw'!$B$5:$AC$5, _xlfn.XLOOKUP($A18,'QB_Funds Analysis raw'!$A$6:$A$104,'QB_Funds Analysis raw'!$B$6:$AC$104))))</f>
        <v>0</v>
      </c>
      <c r="P18" s="142" cm="1">
        <f t="array" ref="P18">IF(ISERROR(_xlfn.XLOOKUP(P$5,'QB_Funds Analysis raw'!$B$5:$AC$5, _xlfn.XLOOKUP($A18,'QB_Funds Analysis raw'!$A$6:$A$104,'QB_Funds Analysis raw'!$B$6:$AC$104))),0,(_xlfn.XLOOKUP(P$5,'QB_Funds Analysis raw'!$B$5:$AC$5, _xlfn.XLOOKUP($A18,'QB_Funds Analysis raw'!$A$6:$A$104,'QB_Funds Analysis raw'!$B$6:$AC$104))))</f>
        <v>0</v>
      </c>
      <c r="Q18" s="247" cm="1">
        <f t="array" ref="Q18">IF(ISERROR(_xlfn.XLOOKUP(Q$5,'QB_Funds Analysis raw'!$B$5:$AC$5, _xlfn.XLOOKUP($A18,'QB_Funds Analysis raw'!$A$6:$A$104,'QB_Funds Analysis raw'!$B$6:$AC$104))),0,(_xlfn.XLOOKUP(Q$5,'QB_Funds Analysis raw'!$B$5:$AC$5, _xlfn.XLOOKUP($A18,'QB_Funds Analysis raw'!$A$6:$A$104,'QB_Funds Analysis raw'!$B$6:$AC$104))))</f>
        <v>19.190000000000001</v>
      </c>
      <c r="R18" s="142" cm="1">
        <f t="array" ref="R18">IF(ISERROR(_xlfn.XLOOKUP(R$5,'QB_Funds Analysis raw'!$B$5:$AC$5, _xlfn.XLOOKUP($A18,'QB_Funds Analysis raw'!$A$6:$A$104,'QB_Funds Analysis raw'!$B$6:$AC$104))),0,(_xlfn.XLOOKUP(R$5,'QB_Funds Analysis raw'!$B$5:$AC$5, _xlfn.XLOOKUP($A18,'QB_Funds Analysis raw'!$A$6:$A$104,'QB_Funds Analysis raw'!$B$6:$AC$104))))</f>
        <v>0</v>
      </c>
      <c r="S18" s="142" cm="1">
        <f t="array" ref="S18">IF(ISERROR(_xlfn.XLOOKUP(S$5,'QB_Funds Analysis raw'!$B$5:$AC$5, _xlfn.XLOOKUP($A18,'QB_Funds Analysis raw'!$A$6:$A$104,'QB_Funds Analysis raw'!$B$6:$AC$104))),0,(_xlfn.XLOOKUP(S$5,'QB_Funds Analysis raw'!$B$5:$AC$5, _xlfn.XLOOKUP($A18,'QB_Funds Analysis raw'!$A$6:$A$104,'QB_Funds Analysis raw'!$B$6:$AC$104))))</f>
        <v>0</v>
      </c>
      <c r="T18" s="142" cm="1">
        <f t="array" ref="T18">IF(ISERROR(_xlfn.XLOOKUP(T$5,'QB_Funds Analysis raw'!$B$5:$AC$5, _xlfn.XLOOKUP($A18,'QB_Funds Analysis raw'!$A$6:$A$104,'QB_Funds Analysis raw'!$B$6:$AC$104))),0,(_xlfn.XLOOKUP(T$5,'QB_Funds Analysis raw'!$B$5:$AC$5, _xlfn.XLOOKUP($A18,'QB_Funds Analysis raw'!$A$6:$A$104,'QB_Funds Analysis raw'!$B$6:$AC$104))))</f>
        <v>0</v>
      </c>
      <c r="U18" s="142" cm="1">
        <f t="array" ref="U18">IF(ISERROR(_xlfn.XLOOKUP(U$5,'QB_Funds Analysis raw'!$B$5:$AC$5, _xlfn.XLOOKUP($A18,'QB_Funds Analysis raw'!$A$6:$A$104,'QB_Funds Analysis raw'!$B$6:$AC$104))),0,(_xlfn.XLOOKUP(U$5,'QB_Funds Analysis raw'!$B$5:$AC$5, _xlfn.XLOOKUP($A18,'QB_Funds Analysis raw'!$A$6:$A$104,'QB_Funds Analysis raw'!$B$6:$AC$104))))</f>
        <v>0</v>
      </c>
      <c r="V18" s="142" cm="1">
        <f t="array" ref="V18">IF(ISERROR(_xlfn.XLOOKUP(V$5,'QB_Funds Analysis raw'!$B$5:$AC$5, _xlfn.XLOOKUP($A18,'QB_Funds Analysis raw'!$A$6:$A$104,'QB_Funds Analysis raw'!$B$6:$AC$104))),0,(_xlfn.XLOOKUP(V$5,'QB_Funds Analysis raw'!$B$5:$AC$5, _xlfn.XLOOKUP($A18,'QB_Funds Analysis raw'!$A$6:$A$104,'QB_Funds Analysis raw'!$B$6:$AC$104))))</f>
        <v>0</v>
      </c>
      <c r="W18" s="142" cm="1">
        <f t="array" ref="W18">IF(ISERROR(_xlfn.XLOOKUP(W$5,'QB_Funds Analysis raw'!$B$5:$AC$5, _xlfn.XLOOKUP($A18,'QB_Funds Analysis raw'!$A$6:$A$104,'QB_Funds Analysis raw'!$B$6:$AC$104))),0,(_xlfn.XLOOKUP(W$5,'QB_Funds Analysis raw'!$B$5:$AC$5, _xlfn.XLOOKUP($A18,'QB_Funds Analysis raw'!$A$6:$A$104,'QB_Funds Analysis raw'!$B$6:$AC$104))))</f>
        <v>0</v>
      </c>
      <c r="X18" s="142" cm="1">
        <f t="array" ref="X18">IF(ISERROR(_xlfn.XLOOKUP(X$5,'QB_Funds Analysis raw'!$B$5:$AC$5, _xlfn.XLOOKUP($A18,'QB_Funds Analysis raw'!$A$6:$A$104,'QB_Funds Analysis raw'!$B$6:$AC$104))),0,(_xlfn.XLOOKUP(X$5,'QB_Funds Analysis raw'!$B$5:$AC$5, _xlfn.XLOOKUP($A18,'QB_Funds Analysis raw'!$A$6:$A$104,'QB_Funds Analysis raw'!$B$6:$AC$104))))</f>
        <v>0</v>
      </c>
      <c r="Y18" s="142" cm="1">
        <f t="array" ref="Y18">IF(ISERROR(_xlfn.XLOOKUP(Y$5,'QB_Funds Analysis raw'!$B$5:$AC$5, _xlfn.XLOOKUP($A18,'QB_Funds Analysis raw'!$A$6:$A$104,'QB_Funds Analysis raw'!$B$6:$AC$104))),0,(_xlfn.XLOOKUP(Y$5,'QB_Funds Analysis raw'!$B$5:$AC$5, _xlfn.XLOOKUP($A18,'QB_Funds Analysis raw'!$A$6:$A$104,'QB_Funds Analysis raw'!$B$6:$AC$104))))</f>
        <v>0</v>
      </c>
      <c r="Z18" s="142" cm="1">
        <f t="array" ref="Z18">IF(ISERROR(_xlfn.XLOOKUP(Z$5,'QB_Funds Analysis raw'!$B$5:$AC$5, _xlfn.XLOOKUP($A18,'QB_Funds Analysis raw'!$A$6:$A$104,'QB_Funds Analysis raw'!$B$6:$AC$104))),0,(_xlfn.XLOOKUP(Z$5,'QB_Funds Analysis raw'!$B$5:$AC$5, _xlfn.XLOOKUP($A18,'QB_Funds Analysis raw'!$A$6:$A$104,'QB_Funds Analysis raw'!$B$6:$AC$104))))</f>
        <v>0</v>
      </c>
      <c r="AA18" s="142" cm="1">
        <f t="array" ref="AA18">IF(ISERROR(_xlfn.XLOOKUP(AA$5,'QB_Funds Analysis raw'!$B$5:$AC$5, _xlfn.XLOOKUP($A18,'QB_Funds Analysis raw'!$A$6:$A$104,'QB_Funds Analysis raw'!$B$6:$AC$104))),0,(_xlfn.XLOOKUP(AA$5,'QB_Funds Analysis raw'!$B$5:$AC$5, _xlfn.XLOOKUP($A18,'QB_Funds Analysis raw'!$A$6:$A$104,'QB_Funds Analysis raw'!$B$6:$AC$104))))</f>
        <v>0</v>
      </c>
      <c r="AB18" s="142" cm="1">
        <f t="array" ref="AB18">IF(ISERROR(_xlfn.XLOOKUP(AB$5,'QB_Funds Analysis raw'!$B$5:$AC$5, _xlfn.XLOOKUP($A18,'QB_Funds Analysis raw'!$A$6:$A$104,'QB_Funds Analysis raw'!$B$6:$AC$104))),0,(_xlfn.XLOOKUP(AB$5,'QB_Funds Analysis raw'!$B$5:$AC$5, _xlfn.XLOOKUP($A18,'QB_Funds Analysis raw'!$A$6:$A$104,'QB_Funds Analysis raw'!$B$6:$AC$104))))</f>
        <v>406.88</v>
      </c>
      <c r="AC18" s="142" cm="1">
        <f t="array" ref="AC18">IF(ISERROR(_xlfn.XLOOKUP(AC$5,'QB_Funds Analysis raw'!$B$5:$AC$5, _xlfn.XLOOKUP($A18,'QB_Funds Analysis raw'!$A$6:$A$104,'QB_Funds Analysis raw'!$B$6:$AC$104))),0,(_xlfn.XLOOKUP(AC$5,'QB_Funds Analysis raw'!$B$5:$AC$5, _xlfn.XLOOKUP($A18,'QB_Funds Analysis raw'!$A$6:$A$104,'QB_Funds Analysis raw'!$B$6:$AC$104))))</f>
        <v>426.07</v>
      </c>
      <c r="AD18" s="167">
        <f t="shared" si="0"/>
        <v>426.07</v>
      </c>
      <c r="AE18" s="167">
        <f t="shared" si="4"/>
        <v>0</v>
      </c>
    </row>
    <row r="19" spans="1:31" ht="20.25" customHeight="1" x14ac:dyDescent="0.25">
      <c r="A19" s="134" t="s">
        <v>29</v>
      </c>
      <c r="B19" s="151">
        <f t="shared" ref="B19" si="7">B18+B17+B16</f>
        <v>0</v>
      </c>
      <c r="C19" s="151">
        <f t="shared" ref="C19:AC19" si="8">C18+C17+C16</f>
        <v>0</v>
      </c>
      <c r="D19" s="253">
        <f t="shared" si="8"/>
        <v>0</v>
      </c>
      <c r="E19" s="151">
        <f t="shared" si="8"/>
        <v>0</v>
      </c>
      <c r="F19" s="151">
        <f t="shared" si="8"/>
        <v>0</v>
      </c>
      <c r="G19" s="151">
        <f t="shared" si="8"/>
        <v>0</v>
      </c>
      <c r="H19" s="151">
        <f t="shared" si="8"/>
        <v>165</v>
      </c>
      <c r="I19" s="151">
        <f t="shared" si="8"/>
        <v>0</v>
      </c>
      <c r="J19" s="151">
        <f t="shared" si="8"/>
        <v>19.190000000000001</v>
      </c>
      <c r="K19" s="253">
        <f t="shared" si="8"/>
        <v>0</v>
      </c>
      <c r="L19" s="151">
        <f t="shared" si="8"/>
        <v>0</v>
      </c>
      <c r="M19" s="151">
        <f t="shared" si="8"/>
        <v>0</v>
      </c>
      <c r="N19" s="253">
        <f t="shared" si="8"/>
        <v>0</v>
      </c>
      <c r="O19" s="253">
        <f t="shared" si="8"/>
        <v>0</v>
      </c>
      <c r="P19" s="151">
        <f t="shared" si="8"/>
        <v>0</v>
      </c>
      <c r="Q19" s="244">
        <f t="shared" si="8"/>
        <v>19.190000000000001</v>
      </c>
      <c r="R19" s="151">
        <f t="shared" si="8"/>
        <v>0</v>
      </c>
      <c r="S19" s="151">
        <f t="shared" si="8"/>
        <v>0</v>
      </c>
      <c r="T19" s="151">
        <f t="shared" si="8"/>
        <v>0</v>
      </c>
      <c r="U19" s="151">
        <f t="shared" si="8"/>
        <v>0</v>
      </c>
      <c r="V19" s="151">
        <f t="shared" si="8"/>
        <v>0</v>
      </c>
      <c r="W19" s="151">
        <f t="shared" si="8"/>
        <v>0</v>
      </c>
      <c r="X19" s="151">
        <f t="shared" si="8"/>
        <v>0</v>
      </c>
      <c r="Y19" s="151">
        <f t="shared" si="8"/>
        <v>0</v>
      </c>
      <c r="Z19" s="151">
        <f t="shared" si="8"/>
        <v>0</v>
      </c>
      <c r="AA19" s="151">
        <f t="shared" si="8"/>
        <v>0</v>
      </c>
      <c r="AB19" s="151">
        <f t="shared" si="8"/>
        <v>72556.540000000008</v>
      </c>
      <c r="AC19" s="151">
        <f t="shared" si="8"/>
        <v>72575.73000000001</v>
      </c>
      <c r="AD19" s="167">
        <f t="shared" si="0"/>
        <v>72575.73000000001</v>
      </c>
      <c r="AE19" s="167">
        <f t="shared" si="4"/>
        <v>0</v>
      </c>
    </row>
    <row r="20" spans="1:31" ht="20.25" customHeight="1" x14ac:dyDescent="0.25">
      <c r="A20" s="2" t="s">
        <v>30</v>
      </c>
      <c r="B20" s="142" cm="1">
        <f t="array" ref="B20">IF(ISERROR(_xlfn.XLOOKUP(B$5,'QB_Funds Analysis raw'!$B$5:$AC$5, _xlfn.XLOOKUP($A20,'QB_Funds Analysis raw'!$A$6:$A$104,'QB_Funds Analysis raw'!$B$6:$AC$104))),0,(_xlfn.XLOOKUP(B$5,'QB_Funds Analysis raw'!$B$5:$AC$5, _xlfn.XLOOKUP($A20,'QB_Funds Analysis raw'!$A$6:$A$104,'QB_Funds Analysis raw'!$B$6:$AC$104))))</f>
        <v>0</v>
      </c>
      <c r="C20" s="142" cm="1">
        <f t="array" ref="C20">IF(ISERROR(_xlfn.XLOOKUP(C$5,'QB_Funds Analysis raw'!$B$5:$AC$5, _xlfn.XLOOKUP($A20,'QB_Funds Analysis raw'!$A$6:$A$104,'QB_Funds Analysis raw'!$B$6:$AC$104))),0,(_xlfn.XLOOKUP(C$5,'QB_Funds Analysis raw'!$B$5:$AC$5, _xlfn.XLOOKUP($A20,'QB_Funds Analysis raw'!$A$6:$A$104,'QB_Funds Analysis raw'!$B$6:$AC$104))))</f>
        <v>0</v>
      </c>
      <c r="D20" s="252" cm="1">
        <f t="array" ref="D20">IF(ISERROR(_xlfn.XLOOKUP(D$5,'QB_Funds Analysis raw'!$B$5:$AC$5, _xlfn.XLOOKUP($A20,'QB_Funds Analysis raw'!$A$6:$A$104,'QB_Funds Analysis raw'!$B$6:$AC$104))),0,(_xlfn.XLOOKUP(D$5,'QB_Funds Analysis raw'!$B$5:$AC$5, _xlfn.XLOOKUP($A20,'QB_Funds Analysis raw'!$A$6:$A$104,'QB_Funds Analysis raw'!$B$6:$AC$104))))</f>
        <v>0</v>
      </c>
      <c r="E20" s="142" cm="1">
        <f t="array" ref="E20">IF(ISERROR(_xlfn.XLOOKUP(E$5,'QB_Funds Analysis raw'!$B$5:$AC$5, _xlfn.XLOOKUP($A20,'QB_Funds Analysis raw'!$A$6:$A$104,'QB_Funds Analysis raw'!$B$6:$AC$104))),0,(_xlfn.XLOOKUP(E$5,'QB_Funds Analysis raw'!$B$5:$AC$5, _xlfn.XLOOKUP($A20,'QB_Funds Analysis raw'!$A$6:$A$104,'QB_Funds Analysis raw'!$B$6:$AC$104))))</f>
        <v>0</v>
      </c>
      <c r="F20" s="142" cm="1">
        <f t="array" ref="F20">IF(ISERROR(_xlfn.XLOOKUP(F$5,'QB_Funds Analysis raw'!$B$5:$AC$5, _xlfn.XLOOKUP($A20,'QB_Funds Analysis raw'!$A$6:$A$104,'QB_Funds Analysis raw'!$B$6:$AC$104))),0,(_xlfn.XLOOKUP(F$5,'QB_Funds Analysis raw'!$B$5:$AC$5, _xlfn.XLOOKUP($A20,'QB_Funds Analysis raw'!$A$6:$A$104,'QB_Funds Analysis raw'!$B$6:$AC$104))))</f>
        <v>0</v>
      </c>
      <c r="G20" s="142" cm="1">
        <f t="array" ref="G20">IF(ISERROR(_xlfn.XLOOKUP(G$5,'QB_Funds Analysis raw'!$B$5:$AC$5, _xlfn.XLOOKUP($A20,'QB_Funds Analysis raw'!$A$6:$A$104,'QB_Funds Analysis raw'!$B$6:$AC$104))),0,(_xlfn.XLOOKUP(G$5,'QB_Funds Analysis raw'!$B$5:$AC$5, _xlfn.XLOOKUP($A20,'QB_Funds Analysis raw'!$A$6:$A$104,'QB_Funds Analysis raw'!$B$6:$AC$104))))</f>
        <v>0</v>
      </c>
      <c r="H20" s="142" cm="1">
        <f t="array" ref="H20">IF(ISERROR(_xlfn.XLOOKUP(H$5,'QB_Funds Analysis raw'!$B$5:$AC$5, _xlfn.XLOOKUP($A20,'QB_Funds Analysis raw'!$A$6:$A$104,'QB_Funds Analysis raw'!$B$6:$AC$104))),0,(_xlfn.XLOOKUP(H$5,'QB_Funds Analysis raw'!$B$5:$AC$5, _xlfn.XLOOKUP($A20,'QB_Funds Analysis raw'!$A$6:$A$104,'QB_Funds Analysis raw'!$B$6:$AC$104))))</f>
        <v>0</v>
      </c>
      <c r="I20" s="142" cm="1">
        <f t="array" ref="I20">IF(ISERROR(_xlfn.XLOOKUP(I$5,'QB_Funds Analysis raw'!$B$5:$AC$5, _xlfn.XLOOKUP($A20,'QB_Funds Analysis raw'!$A$6:$A$104,'QB_Funds Analysis raw'!$B$6:$AC$104))),0,(_xlfn.XLOOKUP(I$5,'QB_Funds Analysis raw'!$B$5:$AC$5, _xlfn.XLOOKUP($A20,'QB_Funds Analysis raw'!$A$6:$A$104,'QB_Funds Analysis raw'!$B$6:$AC$104))))</f>
        <v>0</v>
      </c>
      <c r="J20" s="142" cm="1">
        <f t="array" ref="J20">IF(ISERROR(_xlfn.XLOOKUP(J$5,'QB_Funds Analysis raw'!$B$5:$AC$5, _xlfn.XLOOKUP($A20,'QB_Funds Analysis raw'!$A$6:$A$104,'QB_Funds Analysis raw'!$B$6:$AC$104))),0,(_xlfn.XLOOKUP(J$5,'QB_Funds Analysis raw'!$B$5:$AC$5, _xlfn.XLOOKUP($A20,'QB_Funds Analysis raw'!$A$6:$A$104,'QB_Funds Analysis raw'!$B$6:$AC$104))))</f>
        <v>0</v>
      </c>
      <c r="K20" s="252" cm="1">
        <f t="array" ref="K20">IF(ISERROR(_xlfn.XLOOKUP(K$5,'QB_Funds Analysis raw'!$B$5:$AC$5, _xlfn.XLOOKUP($A20,'QB_Funds Analysis raw'!$A$6:$A$104,'QB_Funds Analysis raw'!$B$6:$AC$104))),0,(_xlfn.XLOOKUP(K$5,'QB_Funds Analysis raw'!$B$5:$AC$5, _xlfn.XLOOKUP($A20,'QB_Funds Analysis raw'!$A$6:$A$104,'QB_Funds Analysis raw'!$B$6:$AC$104))))</f>
        <v>0</v>
      </c>
      <c r="L20" s="142" cm="1">
        <f t="array" ref="L20">IF(ISERROR(_xlfn.XLOOKUP(L$5,'QB_Funds Analysis raw'!$B$5:$AC$5, _xlfn.XLOOKUP($A20,'QB_Funds Analysis raw'!$A$6:$A$104,'QB_Funds Analysis raw'!$B$6:$AC$104))),0,(_xlfn.XLOOKUP(L$5,'QB_Funds Analysis raw'!$B$5:$AC$5, _xlfn.XLOOKUP($A20,'QB_Funds Analysis raw'!$A$6:$A$104,'QB_Funds Analysis raw'!$B$6:$AC$104))))</f>
        <v>0</v>
      </c>
      <c r="M20" s="142" cm="1">
        <f t="array" ref="M20">IF(ISERROR(_xlfn.XLOOKUP(M$5,'QB_Funds Analysis raw'!$B$5:$AC$5, _xlfn.XLOOKUP($A20,'QB_Funds Analysis raw'!$A$6:$A$104,'QB_Funds Analysis raw'!$B$6:$AC$104))),0,(_xlfn.XLOOKUP(M$5,'QB_Funds Analysis raw'!$B$5:$AC$5, _xlfn.XLOOKUP($A20,'QB_Funds Analysis raw'!$A$6:$A$104,'QB_Funds Analysis raw'!$B$6:$AC$104))))</f>
        <v>0</v>
      </c>
      <c r="N20" s="252" cm="1">
        <f t="array" ref="N20">IF(ISERROR(_xlfn.XLOOKUP(N$5,'QB_Funds Analysis raw'!$B$5:$AC$5, _xlfn.XLOOKUP($A20,'QB_Funds Analysis raw'!$A$6:$A$104,'QB_Funds Analysis raw'!$B$6:$AC$104))),0,(_xlfn.XLOOKUP(N$5,'QB_Funds Analysis raw'!$B$5:$AC$5, _xlfn.XLOOKUP($A20,'QB_Funds Analysis raw'!$A$6:$A$104,'QB_Funds Analysis raw'!$B$6:$AC$104))))</f>
        <v>0</v>
      </c>
      <c r="O20" s="252" cm="1">
        <f t="array" ref="O20">IF(ISERROR(_xlfn.XLOOKUP(O$5,'QB_Funds Analysis raw'!$B$5:$AC$5, _xlfn.XLOOKUP($A20,'QB_Funds Analysis raw'!$A$6:$A$104,'QB_Funds Analysis raw'!$B$6:$AC$104))),0,(_xlfn.XLOOKUP(O$5,'QB_Funds Analysis raw'!$B$5:$AC$5, _xlfn.XLOOKUP($A20,'QB_Funds Analysis raw'!$A$6:$A$104,'QB_Funds Analysis raw'!$B$6:$AC$104))))</f>
        <v>0</v>
      </c>
      <c r="P20" s="142" cm="1">
        <f t="array" ref="P20">IF(ISERROR(_xlfn.XLOOKUP(P$5,'QB_Funds Analysis raw'!$B$5:$AC$5, _xlfn.XLOOKUP($A20,'QB_Funds Analysis raw'!$A$6:$A$104,'QB_Funds Analysis raw'!$B$6:$AC$104))),0,(_xlfn.XLOOKUP(P$5,'QB_Funds Analysis raw'!$B$5:$AC$5, _xlfn.XLOOKUP($A20,'QB_Funds Analysis raw'!$A$6:$A$104,'QB_Funds Analysis raw'!$B$6:$AC$104))))</f>
        <v>0</v>
      </c>
      <c r="Q20" s="247" cm="1">
        <f t="array" ref="Q20">IF(ISERROR(_xlfn.XLOOKUP(Q$5,'QB_Funds Analysis raw'!$B$5:$AC$5, _xlfn.XLOOKUP($A20,'QB_Funds Analysis raw'!$A$6:$A$104,'QB_Funds Analysis raw'!$B$6:$AC$104))),0,(_xlfn.XLOOKUP(Q$5,'QB_Funds Analysis raw'!$B$5:$AC$5, _xlfn.XLOOKUP($A20,'QB_Funds Analysis raw'!$A$6:$A$104,'QB_Funds Analysis raw'!$B$6:$AC$104))))</f>
        <v>0</v>
      </c>
      <c r="R20" s="142" cm="1">
        <f t="array" ref="R20">IF(ISERROR(_xlfn.XLOOKUP(R$5,'QB_Funds Analysis raw'!$B$5:$AC$5, _xlfn.XLOOKUP($A20,'QB_Funds Analysis raw'!$A$6:$A$104,'QB_Funds Analysis raw'!$B$6:$AC$104))),0,(_xlfn.XLOOKUP(R$5,'QB_Funds Analysis raw'!$B$5:$AC$5, _xlfn.XLOOKUP($A20,'QB_Funds Analysis raw'!$A$6:$A$104,'QB_Funds Analysis raw'!$B$6:$AC$104))))</f>
        <v>0</v>
      </c>
      <c r="S20" s="142" cm="1">
        <f t="array" ref="S20">IF(ISERROR(_xlfn.XLOOKUP(S$5,'QB_Funds Analysis raw'!$B$5:$AC$5, _xlfn.XLOOKUP($A20,'QB_Funds Analysis raw'!$A$6:$A$104,'QB_Funds Analysis raw'!$B$6:$AC$104))),0,(_xlfn.XLOOKUP(S$5,'QB_Funds Analysis raw'!$B$5:$AC$5, _xlfn.XLOOKUP($A20,'QB_Funds Analysis raw'!$A$6:$A$104,'QB_Funds Analysis raw'!$B$6:$AC$104))))</f>
        <v>0</v>
      </c>
      <c r="T20" s="142" cm="1">
        <f t="array" ref="T20">IF(ISERROR(_xlfn.XLOOKUP(T$5,'QB_Funds Analysis raw'!$B$5:$AC$5, _xlfn.XLOOKUP($A20,'QB_Funds Analysis raw'!$A$6:$A$104,'QB_Funds Analysis raw'!$B$6:$AC$104))),0,(_xlfn.XLOOKUP(T$5,'QB_Funds Analysis raw'!$B$5:$AC$5, _xlfn.XLOOKUP($A20,'QB_Funds Analysis raw'!$A$6:$A$104,'QB_Funds Analysis raw'!$B$6:$AC$104))))</f>
        <v>0</v>
      </c>
      <c r="U20" s="142" cm="1">
        <f t="array" ref="U20">IF(ISERROR(_xlfn.XLOOKUP(U$5,'QB_Funds Analysis raw'!$B$5:$AC$5, _xlfn.XLOOKUP($A20,'QB_Funds Analysis raw'!$A$6:$A$104,'QB_Funds Analysis raw'!$B$6:$AC$104))),0,(_xlfn.XLOOKUP(U$5,'QB_Funds Analysis raw'!$B$5:$AC$5, _xlfn.XLOOKUP($A20,'QB_Funds Analysis raw'!$A$6:$A$104,'QB_Funds Analysis raw'!$B$6:$AC$104))))</f>
        <v>0</v>
      </c>
      <c r="V20" s="142" cm="1">
        <f t="array" ref="V20">IF(ISERROR(_xlfn.XLOOKUP(V$5,'QB_Funds Analysis raw'!$B$5:$AC$5, _xlfn.XLOOKUP($A20,'QB_Funds Analysis raw'!$A$6:$A$104,'QB_Funds Analysis raw'!$B$6:$AC$104))),0,(_xlfn.XLOOKUP(V$5,'QB_Funds Analysis raw'!$B$5:$AC$5, _xlfn.XLOOKUP($A20,'QB_Funds Analysis raw'!$A$6:$A$104,'QB_Funds Analysis raw'!$B$6:$AC$104))))</f>
        <v>0</v>
      </c>
      <c r="W20" s="142" cm="1">
        <f t="array" ref="W20">IF(ISERROR(_xlfn.XLOOKUP(W$5,'QB_Funds Analysis raw'!$B$5:$AC$5, _xlfn.XLOOKUP($A20,'QB_Funds Analysis raw'!$A$6:$A$104,'QB_Funds Analysis raw'!$B$6:$AC$104))),0,(_xlfn.XLOOKUP(W$5,'QB_Funds Analysis raw'!$B$5:$AC$5, _xlfn.XLOOKUP($A20,'QB_Funds Analysis raw'!$A$6:$A$104,'QB_Funds Analysis raw'!$B$6:$AC$104))))</f>
        <v>0</v>
      </c>
      <c r="X20" s="142" cm="1">
        <f t="array" ref="X20">IF(ISERROR(_xlfn.XLOOKUP(X$5,'QB_Funds Analysis raw'!$B$5:$AC$5, _xlfn.XLOOKUP($A20,'QB_Funds Analysis raw'!$A$6:$A$104,'QB_Funds Analysis raw'!$B$6:$AC$104))),0,(_xlfn.XLOOKUP(X$5,'QB_Funds Analysis raw'!$B$5:$AC$5, _xlfn.XLOOKUP($A20,'QB_Funds Analysis raw'!$A$6:$A$104,'QB_Funds Analysis raw'!$B$6:$AC$104))))</f>
        <v>0</v>
      </c>
      <c r="Y20" s="142" cm="1">
        <f t="array" ref="Y20">IF(ISERROR(_xlfn.XLOOKUP(Y$5,'QB_Funds Analysis raw'!$B$5:$AC$5, _xlfn.XLOOKUP($A20,'QB_Funds Analysis raw'!$A$6:$A$104,'QB_Funds Analysis raw'!$B$6:$AC$104))),0,(_xlfn.XLOOKUP(Y$5,'QB_Funds Analysis raw'!$B$5:$AC$5, _xlfn.XLOOKUP($A20,'QB_Funds Analysis raw'!$A$6:$A$104,'QB_Funds Analysis raw'!$B$6:$AC$104))))</f>
        <v>0</v>
      </c>
      <c r="Z20" s="142" cm="1">
        <f t="array" ref="Z20">IF(ISERROR(_xlfn.XLOOKUP(Z$5,'QB_Funds Analysis raw'!$B$5:$AC$5, _xlfn.XLOOKUP($A20,'QB_Funds Analysis raw'!$A$6:$A$104,'QB_Funds Analysis raw'!$B$6:$AC$104))),0,(_xlfn.XLOOKUP(Z$5,'QB_Funds Analysis raw'!$B$5:$AC$5, _xlfn.XLOOKUP($A20,'QB_Funds Analysis raw'!$A$6:$A$104,'QB_Funds Analysis raw'!$B$6:$AC$104))))</f>
        <v>0</v>
      </c>
      <c r="AA20" s="142" cm="1">
        <f t="array" ref="AA20">IF(ISERROR(_xlfn.XLOOKUP(AA$5,'QB_Funds Analysis raw'!$B$5:$AC$5, _xlfn.XLOOKUP($A20,'QB_Funds Analysis raw'!$A$6:$A$104,'QB_Funds Analysis raw'!$B$6:$AC$104))),0,(_xlfn.XLOOKUP(AA$5,'QB_Funds Analysis raw'!$B$5:$AC$5, _xlfn.XLOOKUP($A20,'QB_Funds Analysis raw'!$A$6:$A$104,'QB_Funds Analysis raw'!$B$6:$AC$104))))</f>
        <v>0</v>
      </c>
      <c r="AB20" s="142" cm="1">
        <f t="array" ref="AB20">IF(ISERROR(_xlfn.XLOOKUP(AB$5,'QB_Funds Analysis raw'!$B$5:$AC$5, _xlfn.XLOOKUP($A20,'QB_Funds Analysis raw'!$A$6:$A$104,'QB_Funds Analysis raw'!$B$6:$AC$104))),0,(_xlfn.XLOOKUP(AB$5,'QB_Funds Analysis raw'!$B$5:$AC$5, _xlfn.XLOOKUP($A20,'QB_Funds Analysis raw'!$A$6:$A$104,'QB_Funds Analysis raw'!$B$6:$AC$104))))</f>
        <v>0</v>
      </c>
      <c r="AC20" s="142" cm="1">
        <f t="array" ref="AC20">IF(ISERROR(_xlfn.XLOOKUP(AC$5,'QB_Funds Analysis raw'!$B$5:$AC$5, _xlfn.XLOOKUP($A20,'QB_Funds Analysis raw'!$A$6:$A$104,'QB_Funds Analysis raw'!$B$6:$AC$104))),0,(_xlfn.XLOOKUP(AC$5,'QB_Funds Analysis raw'!$B$5:$AC$5, _xlfn.XLOOKUP($A20,'QB_Funds Analysis raw'!$A$6:$A$104,'QB_Funds Analysis raw'!$B$6:$AC$104))))</f>
        <v>0</v>
      </c>
      <c r="AD20" s="167">
        <f t="shared" si="0"/>
        <v>0</v>
      </c>
      <c r="AE20" s="167">
        <f t="shared" si="4"/>
        <v>0</v>
      </c>
    </row>
    <row r="21" spans="1:31" ht="20.25" customHeight="1" x14ac:dyDescent="0.25">
      <c r="A21" s="2" t="s">
        <v>31</v>
      </c>
      <c r="B21" s="142" cm="1">
        <f t="array" ref="B21">IF(ISERROR(_xlfn.XLOOKUP(B$5,'QB_Funds Analysis raw'!$B$5:$AC$5, _xlfn.XLOOKUP($A21,'QB_Funds Analysis raw'!$A$6:$A$104,'QB_Funds Analysis raw'!$B$6:$AC$104))),0,(_xlfn.XLOOKUP(B$5,'QB_Funds Analysis raw'!$B$5:$AC$5, _xlfn.XLOOKUP($A21,'QB_Funds Analysis raw'!$A$6:$A$104,'QB_Funds Analysis raw'!$B$6:$AC$104))))</f>
        <v>0</v>
      </c>
      <c r="C21" s="142" cm="1">
        <f t="array" ref="C21">IF(ISERROR(_xlfn.XLOOKUP(C$5,'QB_Funds Analysis raw'!$B$5:$AC$5, _xlfn.XLOOKUP($A21,'QB_Funds Analysis raw'!$A$6:$A$104,'QB_Funds Analysis raw'!$B$6:$AC$104))),0,(_xlfn.XLOOKUP(C$5,'QB_Funds Analysis raw'!$B$5:$AC$5, _xlfn.XLOOKUP($A21,'QB_Funds Analysis raw'!$A$6:$A$104,'QB_Funds Analysis raw'!$B$6:$AC$104))))</f>
        <v>0</v>
      </c>
      <c r="D21" s="252" cm="1">
        <f t="array" ref="D21">IF(ISERROR(_xlfn.XLOOKUP(D$5,'QB_Funds Analysis raw'!$B$5:$AC$5, _xlfn.XLOOKUP($A21,'QB_Funds Analysis raw'!$A$6:$A$104,'QB_Funds Analysis raw'!$B$6:$AC$104))),0,(_xlfn.XLOOKUP(D$5,'QB_Funds Analysis raw'!$B$5:$AC$5, _xlfn.XLOOKUP($A21,'QB_Funds Analysis raw'!$A$6:$A$104,'QB_Funds Analysis raw'!$B$6:$AC$104))))</f>
        <v>0</v>
      </c>
      <c r="E21" s="142" cm="1">
        <f t="array" ref="E21">IF(ISERROR(_xlfn.XLOOKUP(E$5,'QB_Funds Analysis raw'!$B$5:$AC$5, _xlfn.XLOOKUP($A21,'QB_Funds Analysis raw'!$A$6:$A$104,'QB_Funds Analysis raw'!$B$6:$AC$104))),0,(_xlfn.XLOOKUP(E$5,'QB_Funds Analysis raw'!$B$5:$AC$5, _xlfn.XLOOKUP($A21,'QB_Funds Analysis raw'!$A$6:$A$104,'QB_Funds Analysis raw'!$B$6:$AC$104))))</f>
        <v>0</v>
      </c>
      <c r="F21" s="142" cm="1">
        <f t="array" ref="F21">IF(ISERROR(_xlfn.XLOOKUP(F$5,'QB_Funds Analysis raw'!$B$5:$AC$5, _xlfn.XLOOKUP($A21,'QB_Funds Analysis raw'!$A$6:$A$104,'QB_Funds Analysis raw'!$B$6:$AC$104))),0,(_xlfn.XLOOKUP(F$5,'QB_Funds Analysis raw'!$B$5:$AC$5, _xlfn.XLOOKUP($A21,'QB_Funds Analysis raw'!$A$6:$A$104,'QB_Funds Analysis raw'!$B$6:$AC$104))))</f>
        <v>0</v>
      </c>
      <c r="G21" s="142" cm="1">
        <f t="array" ref="G21">IF(ISERROR(_xlfn.XLOOKUP(G$5,'QB_Funds Analysis raw'!$B$5:$AC$5, _xlfn.XLOOKUP($A21,'QB_Funds Analysis raw'!$A$6:$A$104,'QB_Funds Analysis raw'!$B$6:$AC$104))),0,(_xlfn.XLOOKUP(G$5,'QB_Funds Analysis raw'!$B$5:$AC$5, _xlfn.XLOOKUP($A21,'QB_Funds Analysis raw'!$A$6:$A$104,'QB_Funds Analysis raw'!$B$6:$AC$104))))</f>
        <v>0</v>
      </c>
      <c r="H21" s="142" cm="1">
        <f t="array" ref="H21">IF(ISERROR(_xlfn.XLOOKUP(H$5,'QB_Funds Analysis raw'!$B$5:$AC$5, _xlfn.XLOOKUP($A21,'QB_Funds Analysis raw'!$A$6:$A$104,'QB_Funds Analysis raw'!$B$6:$AC$104))),0,(_xlfn.XLOOKUP(H$5,'QB_Funds Analysis raw'!$B$5:$AC$5, _xlfn.XLOOKUP($A21,'QB_Funds Analysis raw'!$A$6:$A$104,'QB_Funds Analysis raw'!$B$6:$AC$104))))</f>
        <v>0</v>
      </c>
      <c r="I21" s="142" cm="1">
        <f t="array" ref="I21">IF(ISERROR(_xlfn.XLOOKUP(I$5,'QB_Funds Analysis raw'!$B$5:$AC$5, _xlfn.XLOOKUP($A21,'QB_Funds Analysis raw'!$A$6:$A$104,'QB_Funds Analysis raw'!$B$6:$AC$104))),0,(_xlfn.XLOOKUP(I$5,'QB_Funds Analysis raw'!$B$5:$AC$5, _xlfn.XLOOKUP($A21,'QB_Funds Analysis raw'!$A$6:$A$104,'QB_Funds Analysis raw'!$B$6:$AC$104))))</f>
        <v>0</v>
      </c>
      <c r="J21" s="142" cm="1">
        <f t="array" ref="J21">IF(ISERROR(_xlfn.XLOOKUP(J$5,'QB_Funds Analysis raw'!$B$5:$AC$5, _xlfn.XLOOKUP($A21,'QB_Funds Analysis raw'!$A$6:$A$104,'QB_Funds Analysis raw'!$B$6:$AC$104))),0,(_xlfn.XLOOKUP(J$5,'QB_Funds Analysis raw'!$B$5:$AC$5, _xlfn.XLOOKUP($A21,'QB_Funds Analysis raw'!$A$6:$A$104,'QB_Funds Analysis raw'!$B$6:$AC$104))))</f>
        <v>0</v>
      </c>
      <c r="K21" s="252" cm="1">
        <f t="array" ref="K21">IF(ISERROR(_xlfn.XLOOKUP(K$5,'QB_Funds Analysis raw'!$B$5:$AC$5, _xlfn.XLOOKUP($A21,'QB_Funds Analysis raw'!$A$6:$A$104,'QB_Funds Analysis raw'!$B$6:$AC$104))),0,(_xlfn.XLOOKUP(K$5,'QB_Funds Analysis raw'!$B$5:$AC$5, _xlfn.XLOOKUP($A21,'QB_Funds Analysis raw'!$A$6:$A$104,'QB_Funds Analysis raw'!$B$6:$AC$104))))</f>
        <v>0</v>
      </c>
      <c r="L21" s="142" cm="1">
        <f t="array" ref="L21">IF(ISERROR(_xlfn.XLOOKUP(L$5,'QB_Funds Analysis raw'!$B$5:$AC$5, _xlfn.XLOOKUP($A21,'QB_Funds Analysis raw'!$A$6:$A$104,'QB_Funds Analysis raw'!$B$6:$AC$104))),0,(_xlfn.XLOOKUP(L$5,'QB_Funds Analysis raw'!$B$5:$AC$5, _xlfn.XLOOKUP($A21,'QB_Funds Analysis raw'!$A$6:$A$104,'QB_Funds Analysis raw'!$B$6:$AC$104))))</f>
        <v>0</v>
      </c>
      <c r="M21" s="142" cm="1">
        <f t="array" ref="M21">IF(ISERROR(_xlfn.XLOOKUP(M$5,'QB_Funds Analysis raw'!$B$5:$AC$5, _xlfn.XLOOKUP($A21,'QB_Funds Analysis raw'!$A$6:$A$104,'QB_Funds Analysis raw'!$B$6:$AC$104))),0,(_xlfn.XLOOKUP(M$5,'QB_Funds Analysis raw'!$B$5:$AC$5, _xlfn.XLOOKUP($A21,'QB_Funds Analysis raw'!$A$6:$A$104,'QB_Funds Analysis raw'!$B$6:$AC$104))))</f>
        <v>0</v>
      </c>
      <c r="N21" s="252" cm="1">
        <f t="array" ref="N21">IF(ISERROR(_xlfn.XLOOKUP(N$5,'QB_Funds Analysis raw'!$B$5:$AC$5, _xlfn.XLOOKUP($A21,'QB_Funds Analysis raw'!$A$6:$A$104,'QB_Funds Analysis raw'!$B$6:$AC$104))),0,(_xlfn.XLOOKUP(N$5,'QB_Funds Analysis raw'!$B$5:$AC$5, _xlfn.XLOOKUP($A21,'QB_Funds Analysis raw'!$A$6:$A$104,'QB_Funds Analysis raw'!$B$6:$AC$104))))</f>
        <v>0</v>
      </c>
      <c r="O21" s="252" cm="1">
        <f t="array" ref="O21">IF(ISERROR(_xlfn.XLOOKUP(O$5,'QB_Funds Analysis raw'!$B$5:$AC$5, _xlfn.XLOOKUP($A21,'QB_Funds Analysis raw'!$A$6:$A$104,'QB_Funds Analysis raw'!$B$6:$AC$104))),0,(_xlfn.XLOOKUP(O$5,'QB_Funds Analysis raw'!$B$5:$AC$5, _xlfn.XLOOKUP($A21,'QB_Funds Analysis raw'!$A$6:$A$104,'QB_Funds Analysis raw'!$B$6:$AC$104))))</f>
        <v>0</v>
      </c>
      <c r="P21" s="142" cm="1">
        <f t="array" ref="P21">IF(ISERROR(_xlfn.XLOOKUP(P$5,'QB_Funds Analysis raw'!$B$5:$AC$5, _xlfn.XLOOKUP($A21,'QB_Funds Analysis raw'!$A$6:$A$104,'QB_Funds Analysis raw'!$B$6:$AC$104))),0,(_xlfn.XLOOKUP(P$5,'QB_Funds Analysis raw'!$B$5:$AC$5, _xlfn.XLOOKUP($A21,'QB_Funds Analysis raw'!$A$6:$A$104,'QB_Funds Analysis raw'!$B$6:$AC$104))))</f>
        <v>0</v>
      </c>
      <c r="Q21" s="247" cm="1">
        <f t="array" ref="Q21">IF(ISERROR(_xlfn.XLOOKUP(Q$5,'QB_Funds Analysis raw'!$B$5:$AC$5, _xlfn.XLOOKUP($A21,'QB_Funds Analysis raw'!$A$6:$A$104,'QB_Funds Analysis raw'!$B$6:$AC$104))),0,(_xlfn.XLOOKUP(Q$5,'QB_Funds Analysis raw'!$B$5:$AC$5, _xlfn.XLOOKUP($A21,'QB_Funds Analysis raw'!$A$6:$A$104,'QB_Funds Analysis raw'!$B$6:$AC$104))))</f>
        <v>0</v>
      </c>
      <c r="R21" s="142" cm="1">
        <f t="array" ref="R21">IF(ISERROR(_xlfn.XLOOKUP(R$5,'QB_Funds Analysis raw'!$B$5:$AC$5, _xlfn.XLOOKUP($A21,'QB_Funds Analysis raw'!$A$6:$A$104,'QB_Funds Analysis raw'!$B$6:$AC$104))),0,(_xlfn.XLOOKUP(R$5,'QB_Funds Analysis raw'!$B$5:$AC$5, _xlfn.XLOOKUP($A21,'QB_Funds Analysis raw'!$A$6:$A$104,'QB_Funds Analysis raw'!$B$6:$AC$104))))</f>
        <v>0</v>
      </c>
      <c r="S21" s="142" cm="1">
        <f t="array" ref="S21">IF(ISERROR(_xlfn.XLOOKUP(S$5,'QB_Funds Analysis raw'!$B$5:$AC$5, _xlfn.XLOOKUP($A21,'QB_Funds Analysis raw'!$A$6:$A$104,'QB_Funds Analysis raw'!$B$6:$AC$104))),0,(_xlfn.XLOOKUP(S$5,'QB_Funds Analysis raw'!$B$5:$AC$5, _xlfn.XLOOKUP($A21,'QB_Funds Analysis raw'!$A$6:$A$104,'QB_Funds Analysis raw'!$B$6:$AC$104))))</f>
        <v>0</v>
      </c>
      <c r="T21" s="142" cm="1">
        <f t="array" ref="T21">IF(ISERROR(_xlfn.XLOOKUP(T$5,'QB_Funds Analysis raw'!$B$5:$AC$5, _xlfn.XLOOKUP($A21,'QB_Funds Analysis raw'!$A$6:$A$104,'QB_Funds Analysis raw'!$B$6:$AC$104))),0,(_xlfn.XLOOKUP(T$5,'QB_Funds Analysis raw'!$B$5:$AC$5, _xlfn.XLOOKUP($A21,'QB_Funds Analysis raw'!$A$6:$A$104,'QB_Funds Analysis raw'!$B$6:$AC$104))))</f>
        <v>0</v>
      </c>
      <c r="U21" s="142" cm="1">
        <f t="array" ref="U21">IF(ISERROR(_xlfn.XLOOKUP(U$5,'QB_Funds Analysis raw'!$B$5:$AC$5, _xlfn.XLOOKUP($A21,'QB_Funds Analysis raw'!$A$6:$A$104,'QB_Funds Analysis raw'!$B$6:$AC$104))),0,(_xlfn.XLOOKUP(U$5,'QB_Funds Analysis raw'!$B$5:$AC$5, _xlfn.XLOOKUP($A21,'QB_Funds Analysis raw'!$A$6:$A$104,'QB_Funds Analysis raw'!$B$6:$AC$104))))</f>
        <v>0</v>
      </c>
      <c r="V21" s="142" cm="1">
        <f t="array" ref="V21">IF(ISERROR(_xlfn.XLOOKUP(V$5,'QB_Funds Analysis raw'!$B$5:$AC$5, _xlfn.XLOOKUP($A21,'QB_Funds Analysis raw'!$A$6:$A$104,'QB_Funds Analysis raw'!$B$6:$AC$104))),0,(_xlfn.XLOOKUP(V$5,'QB_Funds Analysis raw'!$B$5:$AC$5, _xlfn.XLOOKUP($A21,'QB_Funds Analysis raw'!$A$6:$A$104,'QB_Funds Analysis raw'!$B$6:$AC$104))))</f>
        <v>0</v>
      </c>
      <c r="W21" s="142" cm="1">
        <f t="array" ref="W21">IF(ISERROR(_xlfn.XLOOKUP(W$5,'QB_Funds Analysis raw'!$B$5:$AC$5, _xlfn.XLOOKUP($A21,'QB_Funds Analysis raw'!$A$6:$A$104,'QB_Funds Analysis raw'!$B$6:$AC$104))),0,(_xlfn.XLOOKUP(W$5,'QB_Funds Analysis raw'!$B$5:$AC$5, _xlfn.XLOOKUP($A21,'QB_Funds Analysis raw'!$A$6:$A$104,'QB_Funds Analysis raw'!$B$6:$AC$104))))</f>
        <v>0</v>
      </c>
      <c r="X21" s="142" cm="1">
        <f t="array" ref="X21">IF(ISERROR(_xlfn.XLOOKUP(X$5,'QB_Funds Analysis raw'!$B$5:$AC$5, _xlfn.XLOOKUP($A21,'QB_Funds Analysis raw'!$A$6:$A$104,'QB_Funds Analysis raw'!$B$6:$AC$104))),0,(_xlfn.XLOOKUP(X$5,'QB_Funds Analysis raw'!$B$5:$AC$5, _xlfn.XLOOKUP($A21,'QB_Funds Analysis raw'!$A$6:$A$104,'QB_Funds Analysis raw'!$B$6:$AC$104))))</f>
        <v>0</v>
      </c>
      <c r="Y21" s="142" cm="1">
        <f t="array" ref="Y21">IF(ISERROR(_xlfn.XLOOKUP(Y$5,'QB_Funds Analysis raw'!$B$5:$AC$5, _xlfn.XLOOKUP($A21,'QB_Funds Analysis raw'!$A$6:$A$104,'QB_Funds Analysis raw'!$B$6:$AC$104))),0,(_xlfn.XLOOKUP(Y$5,'QB_Funds Analysis raw'!$B$5:$AC$5, _xlfn.XLOOKUP($A21,'QB_Funds Analysis raw'!$A$6:$A$104,'QB_Funds Analysis raw'!$B$6:$AC$104))))</f>
        <v>0</v>
      </c>
      <c r="Z21" s="142" cm="1">
        <f t="array" ref="Z21">IF(ISERROR(_xlfn.XLOOKUP(Z$5,'QB_Funds Analysis raw'!$B$5:$AC$5, _xlfn.XLOOKUP($A21,'QB_Funds Analysis raw'!$A$6:$A$104,'QB_Funds Analysis raw'!$B$6:$AC$104))),0,(_xlfn.XLOOKUP(Z$5,'QB_Funds Analysis raw'!$B$5:$AC$5, _xlfn.XLOOKUP($A21,'QB_Funds Analysis raw'!$A$6:$A$104,'QB_Funds Analysis raw'!$B$6:$AC$104))))</f>
        <v>0</v>
      </c>
      <c r="AA21" s="142" cm="1">
        <f t="array" ref="AA21">IF(ISERROR(_xlfn.XLOOKUP(AA$5,'QB_Funds Analysis raw'!$B$5:$AC$5, _xlfn.XLOOKUP($A21,'QB_Funds Analysis raw'!$A$6:$A$104,'QB_Funds Analysis raw'!$B$6:$AC$104))),0,(_xlfn.XLOOKUP(AA$5,'QB_Funds Analysis raw'!$B$5:$AC$5, _xlfn.XLOOKUP($A21,'QB_Funds Analysis raw'!$A$6:$A$104,'QB_Funds Analysis raw'!$B$6:$AC$104))))</f>
        <v>0</v>
      </c>
      <c r="AB21" s="142" cm="1">
        <f t="array" ref="AB21">IF(ISERROR(_xlfn.XLOOKUP(AB$5,'QB_Funds Analysis raw'!$B$5:$AC$5, _xlfn.XLOOKUP($A21,'QB_Funds Analysis raw'!$A$6:$A$104,'QB_Funds Analysis raw'!$B$6:$AC$104))),0,(_xlfn.XLOOKUP(AB$5,'QB_Funds Analysis raw'!$B$5:$AC$5, _xlfn.XLOOKUP($A21,'QB_Funds Analysis raw'!$A$6:$A$104,'QB_Funds Analysis raw'!$B$6:$AC$104))))</f>
        <v>0</v>
      </c>
      <c r="AC21" s="142" cm="1">
        <f t="array" ref="AC21">IF(ISERROR(_xlfn.XLOOKUP(AC$5,'QB_Funds Analysis raw'!$B$5:$AC$5, _xlfn.XLOOKUP($A21,'QB_Funds Analysis raw'!$A$6:$A$104,'QB_Funds Analysis raw'!$B$6:$AC$104))),0,(_xlfn.XLOOKUP(AC$5,'QB_Funds Analysis raw'!$B$5:$AC$5, _xlfn.XLOOKUP($A21,'QB_Funds Analysis raw'!$A$6:$A$104,'QB_Funds Analysis raw'!$B$6:$AC$104))))</f>
        <v>0</v>
      </c>
      <c r="AD21" s="167">
        <f t="shared" si="0"/>
        <v>0</v>
      </c>
      <c r="AE21" s="167">
        <f t="shared" si="4"/>
        <v>0</v>
      </c>
    </row>
    <row r="22" spans="1:31" ht="20.25" customHeight="1" x14ac:dyDescent="0.25">
      <c r="A22" s="2" t="s">
        <v>463</v>
      </c>
      <c r="B22" s="142" cm="1">
        <f t="array" ref="B22">IF(ISERROR(_xlfn.XLOOKUP(B$5,'QB_Funds Analysis raw'!$B$5:$AC$5, _xlfn.XLOOKUP($A22,'QB_Funds Analysis raw'!$A$6:$A$104,'QB_Funds Analysis raw'!$B$6:$AC$104))),0,(_xlfn.XLOOKUP(B$5,'QB_Funds Analysis raw'!$B$5:$AC$5, _xlfn.XLOOKUP($A22,'QB_Funds Analysis raw'!$A$6:$A$104,'QB_Funds Analysis raw'!$B$6:$AC$104))))</f>
        <v>0</v>
      </c>
      <c r="C22" s="142" cm="1">
        <f t="array" ref="C22">IF(ISERROR(_xlfn.XLOOKUP(C$5,'QB_Funds Analysis raw'!$B$5:$AC$5, _xlfn.XLOOKUP($A22,'QB_Funds Analysis raw'!$A$6:$A$104,'QB_Funds Analysis raw'!$B$6:$AC$104))),0,(_xlfn.XLOOKUP(C$5,'QB_Funds Analysis raw'!$B$5:$AC$5, _xlfn.XLOOKUP($A22,'QB_Funds Analysis raw'!$A$6:$A$104,'QB_Funds Analysis raw'!$B$6:$AC$104))))</f>
        <v>0</v>
      </c>
      <c r="D22" s="252" cm="1">
        <f t="array" ref="D22">IF(ISERROR(_xlfn.XLOOKUP(D$5,'QB_Funds Analysis raw'!$B$5:$AC$5, _xlfn.XLOOKUP($A22,'QB_Funds Analysis raw'!$A$6:$A$104,'QB_Funds Analysis raw'!$B$6:$AC$104))),0,(_xlfn.XLOOKUP(D$5,'QB_Funds Analysis raw'!$B$5:$AC$5, _xlfn.XLOOKUP($A22,'QB_Funds Analysis raw'!$A$6:$A$104,'QB_Funds Analysis raw'!$B$6:$AC$104))))</f>
        <v>0</v>
      </c>
      <c r="E22" s="142" cm="1">
        <f t="array" ref="E22">IF(ISERROR(_xlfn.XLOOKUP(E$5,'QB_Funds Analysis raw'!$B$5:$AC$5, _xlfn.XLOOKUP($A22,'QB_Funds Analysis raw'!$A$6:$A$104,'QB_Funds Analysis raw'!$B$6:$AC$104))),0,(_xlfn.XLOOKUP(E$5,'QB_Funds Analysis raw'!$B$5:$AC$5, _xlfn.XLOOKUP($A22,'QB_Funds Analysis raw'!$A$6:$A$104,'QB_Funds Analysis raw'!$B$6:$AC$104))))</f>
        <v>0</v>
      </c>
      <c r="F22" s="142" cm="1">
        <f t="array" ref="F22">IF(ISERROR(_xlfn.XLOOKUP(F$5,'QB_Funds Analysis raw'!$B$5:$AC$5, _xlfn.XLOOKUP($A22,'QB_Funds Analysis raw'!$A$6:$A$104,'QB_Funds Analysis raw'!$B$6:$AC$104))),0,(_xlfn.XLOOKUP(F$5,'QB_Funds Analysis raw'!$B$5:$AC$5, _xlfn.XLOOKUP($A22,'QB_Funds Analysis raw'!$A$6:$A$104,'QB_Funds Analysis raw'!$B$6:$AC$104))))</f>
        <v>0</v>
      </c>
      <c r="G22" s="142" cm="1">
        <f t="array" ref="G22">IF(ISERROR(_xlfn.XLOOKUP(G$5,'QB_Funds Analysis raw'!$B$5:$AC$5, _xlfn.XLOOKUP($A22,'QB_Funds Analysis raw'!$A$6:$A$104,'QB_Funds Analysis raw'!$B$6:$AC$104))),0,(_xlfn.XLOOKUP(G$5,'QB_Funds Analysis raw'!$B$5:$AC$5, _xlfn.XLOOKUP($A22,'QB_Funds Analysis raw'!$A$6:$A$104,'QB_Funds Analysis raw'!$B$6:$AC$104))))</f>
        <v>0</v>
      </c>
      <c r="H22" s="142" cm="1">
        <f t="array" ref="H22">IF(ISERROR(_xlfn.XLOOKUP(H$5,'QB_Funds Analysis raw'!$B$5:$AC$5, _xlfn.XLOOKUP($A22,'QB_Funds Analysis raw'!$A$6:$A$104,'QB_Funds Analysis raw'!$B$6:$AC$104))),0,(_xlfn.XLOOKUP(H$5,'QB_Funds Analysis raw'!$B$5:$AC$5, _xlfn.XLOOKUP($A22,'QB_Funds Analysis raw'!$A$6:$A$104,'QB_Funds Analysis raw'!$B$6:$AC$104))))</f>
        <v>0</v>
      </c>
      <c r="I22" s="142" cm="1">
        <f t="array" ref="I22">IF(ISERROR(_xlfn.XLOOKUP(I$5,'QB_Funds Analysis raw'!$B$5:$AC$5, _xlfn.XLOOKUP($A22,'QB_Funds Analysis raw'!$A$6:$A$104,'QB_Funds Analysis raw'!$B$6:$AC$104))),0,(_xlfn.XLOOKUP(I$5,'QB_Funds Analysis raw'!$B$5:$AC$5, _xlfn.XLOOKUP($A22,'QB_Funds Analysis raw'!$A$6:$A$104,'QB_Funds Analysis raw'!$B$6:$AC$104))))</f>
        <v>0</v>
      </c>
      <c r="J22" s="142" cm="1">
        <f t="array" ref="J22">IF(ISERROR(_xlfn.XLOOKUP(J$5,'QB_Funds Analysis raw'!$B$5:$AC$5, _xlfn.XLOOKUP($A22,'QB_Funds Analysis raw'!$A$6:$A$104,'QB_Funds Analysis raw'!$B$6:$AC$104))),0,(_xlfn.XLOOKUP(J$5,'QB_Funds Analysis raw'!$B$5:$AC$5, _xlfn.XLOOKUP($A22,'QB_Funds Analysis raw'!$A$6:$A$104,'QB_Funds Analysis raw'!$B$6:$AC$104))))</f>
        <v>0</v>
      </c>
      <c r="K22" s="252" cm="1">
        <f t="array" ref="K22">IF(ISERROR(_xlfn.XLOOKUP(K$5,'QB_Funds Analysis raw'!$B$5:$AC$5, _xlfn.XLOOKUP($A22,'QB_Funds Analysis raw'!$A$6:$A$104,'QB_Funds Analysis raw'!$B$6:$AC$104))),0,(_xlfn.XLOOKUP(K$5,'QB_Funds Analysis raw'!$B$5:$AC$5, _xlfn.XLOOKUP($A22,'QB_Funds Analysis raw'!$A$6:$A$104,'QB_Funds Analysis raw'!$B$6:$AC$104))))</f>
        <v>0</v>
      </c>
      <c r="L22" s="142" cm="1">
        <f t="array" ref="L22">IF(ISERROR(_xlfn.XLOOKUP(L$5,'QB_Funds Analysis raw'!$B$5:$AC$5, _xlfn.XLOOKUP($A22,'QB_Funds Analysis raw'!$A$6:$A$104,'QB_Funds Analysis raw'!$B$6:$AC$104))),0,(_xlfn.XLOOKUP(L$5,'QB_Funds Analysis raw'!$B$5:$AC$5, _xlfn.XLOOKUP($A22,'QB_Funds Analysis raw'!$A$6:$A$104,'QB_Funds Analysis raw'!$B$6:$AC$104))))</f>
        <v>0</v>
      </c>
      <c r="M22" s="142" cm="1">
        <f t="array" ref="M22">IF(ISERROR(_xlfn.XLOOKUP(M$5,'QB_Funds Analysis raw'!$B$5:$AC$5, _xlfn.XLOOKUP($A22,'QB_Funds Analysis raw'!$A$6:$A$104,'QB_Funds Analysis raw'!$B$6:$AC$104))),0,(_xlfn.XLOOKUP(M$5,'QB_Funds Analysis raw'!$B$5:$AC$5, _xlfn.XLOOKUP($A22,'QB_Funds Analysis raw'!$A$6:$A$104,'QB_Funds Analysis raw'!$B$6:$AC$104))))</f>
        <v>0</v>
      </c>
      <c r="N22" s="252" cm="1">
        <f t="array" ref="N22">IF(ISERROR(_xlfn.XLOOKUP(N$5,'QB_Funds Analysis raw'!$B$5:$AC$5, _xlfn.XLOOKUP($A22,'QB_Funds Analysis raw'!$A$6:$A$104,'QB_Funds Analysis raw'!$B$6:$AC$104))),0,(_xlfn.XLOOKUP(N$5,'QB_Funds Analysis raw'!$B$5:$AC$5, _xlfn.XLOOKUP($A22,'QB_Funds Analysis raw'!$A$6:$A$104,'QB_Funds Analysis raw'!$B$6:$AC$104))))</f>
        <v>0</v>
      </c>
      <c r="O22" s="252" cm="1">
        <f t="array" ref="O22">IF(ISERROR(_xlfn.XLOOKUP(O$5,'QB_Funds Analysis raw'!$B$5:$AC$5, _xlfn.XLOOKUP($A22,'QB_Funds Analysis raw'!$A$6:$A$104,'QB_Funds Analysis raw'!$B$6:$AC$104))),0,(_xlfn.XLOOKUP(O$5,'QB_Funds Analysis raw'!$B$5:$AC$5, _xlfn.XLOOKUP($A22,'QB_Funds Analysis raw'!$A$6:$A$104,'QB_Funds Analysis raw'!$B$6:$AC$104))))</f>
        <v>0</v>
      </c>
      <c r="P22" s="142" cm="1">
        <f t="array" ref="P22">IF(ISERROR(_xlfn.XLOOKUP(P$5,'QB_Funds Analysis raw'!$B$5:$AC$5, _xlfn.XLOOKUP($A22,'QB_Funds Analysis raw'!$A$6:$A$104,'QB_Funds Analysis raw'!$B$6:$AC$104))),0,(_xlfn.XLOOKUP(P$5,'QB_Funds Analysis raw'!$B$5:$AC$5, _xlfn.XLOOKUP($A22,'QB_Funds Analysis raw'!$A$6:$A$104,'QB_Funds Analysis raw'!$B$6:$AC$104))))</f>
        <v>0</v>
      </c>
      <c r="Q22" s="247" cm="1">
        <f t="array" ref="Q22">IF(ISERROR(_xlfn.XLOOKUP(Q$5,'QB_Funds Analysis raw'!$B$5:$AC$5, _xlfn.XLOOKUP($A22,'QB_Funds Analysis raw'!$A$6:$A$104,'QB_Funds Analysis raw'!$B$6:$AC$104))),0,(_xlfn.XLOOKUP(Q$5,'QB_Funds Analysis raw'!$B$5:$AC$5, _xlfn.XLOOKUP($A22,'QB_Funds Analysis raw'!$A$6:$A$104,'QB_Funds Analysis raw'!$B$6:$AC$104))))</f>
        <v>0</v>
      </c>
      <c r="R22" s="142" cm="1">
        <f t="array" ref="R22">IF(ISERROR(_xlfn.XLOOKUP(R$5,'QB_Funds Analysis raw'!$B$5:$AC$5, _xlfn.XLOOKUP($A22,'QB_Funds Analysis raw'!$A$6:$A$104,'QB_Funds Analysis raw'!$B$6:$AC$104))),0,(_xlfn.XLOOKUP(R$5,'QB_Funds Analysis raw'!$B$5:$AC$5, _xlfn.XLOOKUP($A22,'QB_Funds Analysis raw'!$A$6:$A$104,'QB_Funds Analysis raw'!$B$6:$AC$104))))</f>
        <v>0</v>
      </c>
      <c r="S22" s="142" cm="1">
        <f t="array" ref="S22">IF(ISERROR(_xlfn.XLOOKUP(S$5,'QB_Funds Analysis raw'!$B$5:$AC$5, _xlfn.XLOOKUP($A22,'QB_Funds Analysis raw'!$A$6:$A$104,'QB_Funds Analysis raw'!$B$6:$AC$104))),0,(_xlfn.XLOOKUP(S$5,'QB_Funds Analysis raw'!$B$5:$AC$5, _xlfn.XLOOKUP($A22,'QB_Funds Analysis raw'!$A$6:$A$104,'QB_Funds Analysis raw'!$B$6:$AC$104))))</f>
        <v>0</v>
      </c>
      <c r="T22" s="142" cm="1">
        <f t="array" ref="T22">IF(ISERROR(_xlfn.XLOOKUP(T$5,'QB_Funds Analysis raw'!$B$5:$AC$5, _xlfn.XLOOKUP($A22,'QB_Funds Analysis raw'!$A$6:$A$104,'QB_Funds Analysis raw'!$B$6:$AC$104))),0,(_xlfn.XLOOKUP(T$5,'QB_Funds Analysis raw'!$B$5:$AC$5, _xlfn.XLOOKUP($A22,'QB_Funds Analysis raw'!$A$6:$A$104,'QB_Funds Analysis raw'!$B$6:$AC$104))))</f>
        <v>0</v>
      </c>
      <c r="U22" s="142" cm="1">
        <f t="array" ref="U22">IF(ISERROR(_xlfn.XLOOKUP(U$5,'QB_Funds Analysis raw'!$B$5:$AC$5, _xlfn.XLOOKUP($A22,'QB_Funds Analysis raw'!$A$6:$A$104,'QB_Funds Analysis raw'!$B$6:$AC$104))),0,(_xlfn.XLOOKUP(U$5,'QB_Funds Analysis raw'!$B$5:$AC$5, _xlfn.XLOOKUP($A22,'QB_Funds Analysis raw'!$A$6:$A$104,'QB_Funds Analysis raw'!$B$6:$AC$104))))</f>
        <v>0</v>
      </c>
      <c r="V22" s="142" cm="1">
        <f t="array" ref="V22">IF(ISERROR(_xlfn.XLOOKUP(V$5,'QB_Funds Analysis raw'!$B$5:$AC$5, _xlfn.XLOOKUP($A22,'QB_Funds Analysis raw'!$A$6:$A$104,'QB_Funds Analysis raw'!$B$6:$AC$104))),0,(_xlfn.XLOOKUP(V$5,'QB_Funds Analysis raw'!$B$5:$AC$5, _xlfn.XLOOKUP($A22,'QB_Funds Analysis raw'!$A$6:$A$104,'QB_Funds Analysis raw'!$B$6:$AC$104))))</f>
        <v>0</v>
      </c>
      <c r="W22" s="142" cm="1">
        <f t="array" ref="W22">IF(ISERROR(_xlfn.XLOOKUP(W$5,'QB_Funds Analysis raw'!$B$5:$AC$5, _xlfn.XLOOKUP($A22,'QB_Funds Analysis raw'!$A$6:$A$104,'QB_Funds Analysis raw'!$B$6:$AC$104))),0,(_xlfn.XLOOKUP(W$5,'QB_Funds Analysis raw'!$B$5:$AC$5, _xlfn.XLOOKUP($A22,'QB_Funds Analysis raw'!$A$6:$A$104,'QB_Funds Analysis raw'!$B$6:$AC$104))))</f>
        <v>0</v>
      </c>
      <c r="X22" s="142" cm="1">
        <f t="array" ref="X22">IF(ISERROR(_xlfn.XLOOKUP(X$5,'QB_Funds Analysis raw'!$B$5:$AC$5, _xlfn.XLOOKUP($A22,'QB_Funds Analysis raw'!$A$6:$A$104,'QB_Funds Analysis raw'!$B$6:$AC$104))),0,(_xlfn.XLOOKUP(X$5,'QB_Funds Analysis raw'!$B$5:$AC$5, _xlfn.XLOOKUP($A22,'QB_Funds Analysis raw'!$A$6:$A$104,'QB_Funds Analysis raw'!$B$6:$AC$104))))</f>
        <v>0</v>
      </c>
      <c r="Y22" s="142" cm="1">
        <f t="array" ref="Y22">IF(ISERROR(_xlfn.XLOOKUP(Y$5,'QB_Funds Analysis raw'!$B$5:$AC$5, _xlfn.XLOOKUP($A22,'QB_Funds Analysis raw'!$A$6:$A$104,'QB_Funds Analysis raw'!$B$6:$AC$104))),0,(_xlfn.XLOOKUP(Y$5,'QB_Funds Analysis raw'!$B$5:$AC$5, _xlfn.XLOOKUP($A22,'QB_Funds Analysis raw'!$A$6:$A$104,'QB_Funds Analysis raw'!$B$6:$AC$104))))</f>
        <v>0</v>
      </c>
      <c r="Z22" s="142" cm="1">
        <f t="array" ref="Z22">IF(ISERROR(_xlfn.XLOOKUP(Z$5,'QB_Funds Analysis raw'!$B$5:$AC$5, _xlfn.XLOOKUP($A22,'QB_Funds Analysis raw'!$A$6:$A$104,'QB_Funds Analysis raw'!$B$6:$AC$104))),0,(_xlfn.XLOOKUP(Z$5,'QB_Funds Analysis raw'!$B$5:$AC$5, _xlfn.XLOOKUP($A22,'QB_Funds Analysis raw'!$A$6:$A$104,'QB_Funds Analysis raw'!$B$6:$AC$104))))</f>
        <v>0</v>
      </c>
      <c r="AA22" s="142" cm="1">
        <f t="array" ref="AA22">IF(ISERROR(_xlfn.XLOOKUP(AA$5,'QB_Funds Analysis raw'!$B$5:$AC$5, _xlfn.XLOOKUP($A22,'QB_Funds Analysis raw'!$A$6:$A$104,'QB_Funds Analysis raw'!$B$6:$AC$104))),0,(_xlfn.XLOOKUP(AA$5,'QB_Funds Analysis raw'!$B$5:$AC$5, _xlfn.XLOOKUP($A22,'QB_Funds Analysis raw'!$A$6:$A$104,'QB_Funds Analysis raw'!$B$6:$AC$104))))</f>
        <v>0</v>
      </c>
      <c r="AB22" s="142" cm="1">
        <f t="array" ref="AB22">IF(ISERROR(_xlfn.XLOOKUP(AB$5,'QB_Funds Analysis raw'!$B$5:$AC$5, _xlfn.XLOOKUP($A22,'QB_Funds Analysis raw'!$A$6:$A$104,'QB_Funds Analysis raw'!$B$6:$AC$104))),0,(_xlfn.XLOOKUP(AB$5,'QB_Funds Analysis raw'!$B$5:$AC$5, _xlfn.XLOOKUP($A22,'QB_Funds Analysis raw'!$A$6:$A$104,'QB_Funds Analysis raw'!$B$6:$AC$104))))</f>
        <v>0</v>
      </c>
      <c r="AC22" s="142" cm="1">
        <f t="array" ref="AC22">IF(ISERROR(_xlfn.XLOOKUP(AC$5,'QB_Funds Analysis raw'!$B$5:$AC$5, _xlfn.XLOOKUP($A22,'QB_Funds Analysis raw'!$A$6:$A$104,'QB_Funds Analysis raw'!$B$6:$AC$104))),0,(_xlfn.XLOOKUP(AC$5,'QB_Funds Analysis raw'!$B$5:$AC$5, _xlfn.XLOOKUP($A22,'QB_Funds Analysis raw'!$A$6:$A$104,'QB_Funds Analysis raw'!$B$6:$AC$104))))</f>
        <v>0</v>
      </c>
      <c r="AD22" s="167">
        <f t="shared" si="0"/>
        <v>0</v>
      </c>
      <c r="AE22" s="167">
        <f t="shared" si="4"/>
        <v>0</v>
      </c>
    </row>
    <row r="23" spans="1:31" ht="20.25" customHeight="1" x14ac:dyDescent="0.25">
      <c r="A23" s="2" t="s">
        <v>464</v>
      </c>
      <c r="B23" s="142" cm="1">
        <f t="array" ref="B23">IF(ISERROR(_xlfn.XLOOKUP(B$5,'QB_Funds Analysis raw'!$B$5:$AC$5, _xlfn.XLOOKUP($A23,'QB_Funds Analysis raw'!$A$6:$A$104,'QB_Funds Analysis raw'!$B$6:$AC$104))),0,(_xlfn.XLOOKUP(B$5,'QB_Funds Analysis raw'!$B$5:$AC$5, _xlfn.XLOOKUP($A23,'QB_Funds Analysis raw'!$A$6:$A$104,'QB_Funds Analysis raw'!$B$6:$AC$104))))</f>
        <v>0</v>
      </c>
      <c r="C23" s="142" cm="1">
        <f t="array" ref="C23">IF(ISERROR(_xlfn.XLOOKUP(C$5,'QB_Funds Analysis raw'!$B$5:$AC$5, _xlfn.XLOOKUP($A23,'QB_Funds Analysis raw'!$A$6:$A$104,'QB_Funds Analysis raw'!$B$6:$AC$104))),0,(_xlfn.XLOOKUP(C$5,'QB_Funds Analysis raw'!$B$5:$AC$5, _xlfn.XLOOKUP($A23,'QB_Funds Analysis raw'!$A$6:$A$104,'QB_Funds Analysis raw'!$B$6:$AC$104))))</f>
        <v>0</v>
      </c>
      <c r="D23" s="252" cm="1">
        <f t="array" ref="D23">IF(ISERROR(_xlfn.XLOOKUP(D$5,'QB_Funds Analysis raw'!$B$5:$AC$5, _xlfn.XLOOKUP($A23,'QB_Funds Analysis raw'!$A$6:$A$104,'QB_Funds Analysis raw'!$B$6:$AC$104))),0,(_xlfn.XLOOKUP(D$5,'QB_Funds Analysis raw'!$B$5:$AC$5, _xlfn.XLOOKUP($A23,'QB_Funds Analysis raw'!$A$6:$A$104,'QB_Funds Analysis raw'!$B$6:$AC$104))))</f>
        <v>0</v>
      </c>
      <c r="E23" s="142" cm="1">
        <f t="array" ref="E23">IF(ISERROR(_xlfn.XLOOKUP(E$5,'QB_Funds Analysis raw'!$B$5:$AC$5, _xlfn.XLOOKUP($A23,'QB_Funds Analysis raw'!$A$6:$A$104,'QB_Funds Analysis raw'!$B$6:$AC$104))),0,(_xlfn.XLOOKUP(E$5,'QB_Funds Analysis raw'!$B$5:$AC$5, _xlfn.XLOOKUP($A23,'QB_Funds Analysis raw'!$A$6:$A$104,'QB_Funds Analysis raw'!$B$6:$AC$104))))</f>
        <v>0</v>
      </c>
      <c r="F23" s="142" cm="1">
        <f t="array" ref="F23">IF(ISERROR(_xlfn.XLOOKUP(F$5,'QB_Funds Analysis raw'!$B$5:$AC$5, _xlfn.XLOOKUP($A23,'QB_Funds Analysis raw'!$A$6:$A$104,'QB_Funds Analysis raw'!$B$6:$AC$104))),0,(_xlfn.XLOOKUP(F$5,'QB_Funds Analysis raw'!$B$5:$AC$5, _xlfn.XLOOKUP($A23,'QB_Funds Analysis raw'!$A$6:$A$104,'QB_Funds Analysis raw'!$B$6:$AC$104))))</f>
        <v>0</v>
      </c>
      <c r="G23" s="142" cm="1">
        <f t="array" ref="G23">IF(ISERROR(_xlfn.XLOOKUP(G$5,'QB_Funds Analysis raw'!$B$5:$AC$5, _xlfn.XLOOKUP($A23,'QB_Funds Analysis raw'!$A$6:$A$104,'QB_Funds Analysis raw'!$B$6:$AC$104))),0,(_xlfn.XLOOKUP(G$5,'QB_Funds Analysis raw'!$B$5:$AC$5, _xlfn.XLOOKUP($A23,'QB_Funds Analysis raw'!$A$6:$A$104,'QB_Funds Analysis raw'!$B$6:$AC$104))))</f>
        <v>0</v>
      </c>
      <c r="H23" s="142" cm="1">
        <f t="array" ref="H23">IF(ISERROR(_xlfn.XLOOKUP(H$5,'QB_Funds Analysis raw'!$B$5:$AC$5, _xlfn.XLOOKUP($A23,'QB_Funds Analysis raw'!$A$6:$A$104,'QB_Funds Analysis raw'!$B$6:$AC$104))),0,(_xlfn.XLOOKUP(H$5,'QB_Funds Analysis raw'!$B$5:$AC$5, _xlfn.XLOOKUP($A23,'QB_Funds Analysis raw'!$A$6:$A$104,'QB_Funds Analysis raw'!$B$6:$AC$104))))</f>
        <v>0</v>
      </c>
      <c r="I23" s="142" cm="1">
        <f t="array" ref="I23">IF(ISERROR(_xlfn.XLOOKUP(I$5,'QB_Funds Analysis raw'!$B$5:$AC$5, _xlfn.XLOOKUP($A23,'QB_Funds Analysis raw'!$A$6:$A$104,'QB_Funds Analysis raw'!$B$6:$AC$104))),0,(_xlfn.XLOOKUP(I$5,'QB_Funds Analysis raw'!$B$5:$AC$5, _xlfn.XLOOKUP($A23,'QB_Funds Analysis raw'!$A$6:$A$104,'QB_Funds Analysis raw'!$B$6:$AC$104))))</f>
        <v>0</v>
      </c>
      <c r="J23" s="142" cm="1">
        <f t="array" ref="J23">IF(ISERROR(_xlfn.XLOOKUP(J$5,'QB_Funds Analysis raw'!$B$5:$AC$5, _xlfn.XLOOKUP($A23,'QB_Funds Analysis raw'!$A$6:$A$104,'QB_Funds Analysis raw'!$B$6:$AC$104))),0,(_xlfn.XLOOKUP(J$5,'QB_Funds Analysis raw'!$B$5:$AC$5, _xlfn.XLOOKUP($A23,'QB_Funds Analysis raw'!$A$6:$A$104,'QB_Funds Analysis raw'!$B$6:$AC$104))))</f>
        <v>0</v>
      </c>
      <c r="K23" s="252" cm="1">
        <f t="array" ref="K23">IF(ISERROR(_xlfn.XLOOKUP(K$5,'QB_Funds Analysis raw'!$B$5:$AC$5, _xlfn.XLOOKUP($A23,'QB_Funds Analysis raw'!$A$6:$A$104,'QB_Funds Analysis raw'!$B$6:$AC$104))),0,(_xlfn.XLOOKUP(K$5,'QB_Funds Analysis raw'!$B$5:$AC$5, _xlfn.XLOOKUP($A23,'QB_Funds Analysis raw'!$A$6:$A$104,'QB_Funds Analysis raw'!$B$6:$AC$104))))</f>
        <v>0</v>
      </c>
      <c r="L23" s="142" cm="1">
        <f t="array" ref="L23">IF(ISERROR(_xlfn.XLOOKUP(L$5,'QB_Funds Analysis raw'!$B$5:$AC$5, _xlfn.XLOOKUP($A23,'QB_Funds Analysis raw'!$A$6:$A$104,'QB_Funds Analysis raw'!$B$6:$AC$104))),0,(_xlfn.XLOOKUP(L$5,'QB_Funds Analysis raw'!$B$5:$AC$5, _xlfn.XLOOKUP($A23,'QB_Funds Analysis raw'!$A$6:$A$104,'QB_Funds Analysis raw'!$B$6:$AC$104))))</f>
        <v>0</v>
      </c>
      <c r="M23" s="142" cm="1">
        <f t="array" ref="M23">IF(ISERROR(_xlfn.XLOOKUP(M$5,'QB_Funds Analysis raw'!$B$5:$AC$5, _xlfn.XLOOKUP($A23,'QB_Funds Analysis raw'!$A$6:$A$104,'QB_Funds Analysis raw'!$B$6:$AC$104))),0,(_xlfn.XLOOKUP(M$5,'QB_Funds Analysis raw'!$B$5:$AC$5, _xlfn.XLOOKUP($A23,'QB_Funds Analysis raw'!$A$6:$A$104,'QB_Funds Analysis raw'!$B$6:$AC$104))))</f>
        <v>0</v>
      </c>
      <c r="N23" s="252" cm="1">
        <f t="array" ref="N23">IF(ISERROR(_xlfn.XLOOKUP(N$5,'QB_Funds Analysis raw'!$B$5:$AC$5, _xlfn.XLOOKUP($A23,'QB_Funds Analysis raw'!$A$6:$A$104,'QB_Funds Analysis raw'!$B$6:$AC$104))),0,(_xlfn.XLOOKUP(N$5,'QB_Funds Analysis raw'!$B$5:$AC$5, _xlfn.XLOOKUP($A23,'QB_Funds Analysis raw'!$A$6:$A$104,'QB_Funds Analysis raw'!$B$6:$AC$104))))</f>
        <v>269.89999999999998</v>
      </c>
      <c r="O23" s="252" cm="1">
        <f t="array" ref="O23">IF(ISERROR(_xlfn.XLOOKUP(O$5,'QB_Funds Analysis raw'!$B$5:$AC$5, _xlfn.XLOOKUP($A23,'QB_Funds Analysis raw'!$A$6:$A$104,'QB_Funds Analysis raw'!$B$6:$AC$104))),0,(_xlfn.XLOOKUP(O$5,'QB_Funds Analysis raw'!$B$5:$AC$5, _xlfn.XLOOKUP($A23,'QB_Funds Analysis raw'!$A$6:$A$104,'QB_Funds Analysis raw'!$B$6:$AC$104))))</f>
        <v>0</v>
      </c>
      <c r="P23" s="142" cm="1">
        <f t="array" ref="P23">IF(ISERROR(_xlfn.XLOOKUP(P$5,'QB_Funds Analysis raw'!$B$5:$AC$5, _xlfn.XLOOKUP($A23,'QB_Funds Analysis raw'!$A$6:$A$104,'QB_Funds Analysis raw'!$B$6:$AC$104))),0,(_xlfn.XLOOKUP(P$5,'QB_Funds Analysis raw'!$B$5:$AC$5, _xlfn.XLOOKUP($A23,'QB_Funds Analysis raw'!$A$6:$A$104,'QB_Funds Analysis raw'!$B$6:$AC$104))))</f>
        <v>0</v>
      </c>
      <c r="Q23" s="247" cm="1">
        <f t="array" ref="Q23">IF(ISERROR(_xlfn.XLOOKUP(Q$5,'QB_Funds Analysis raw'!$B$5:$AC$5, _xlfn.XLOOKUP($A23,'QB_Funds Analysis raw'!$A$6:$A$104,'QB_Funds Analysis raw'!$B$6:$AC$104))),0,(_xlfn.XLOOKUP(Q$5,'QB_Funds Analysis raw'!$B$5:$AC$5, _xlfn.XLOOKUP($A23,'QB_Funds Analysis raw'!$A$6:$A$104,'QB_Funds Analysis raw'!$B$6:$AC$104))))</f>
        <v>269.89999999999998</v>
      </c>
      <c r="R23" s="142" cm="1">
        <f t="array" ref="R23">IF(ISERROR(_xlfn.XLOOKUP(R$5,'QB_Funds Analysis raw'!$B$5:$AC$5, _xlfn.XLOOKUP($A23,'QB_Funds Analysis raw'!$A$6:$A$104,'QB_Funds Analysis raw'!$B$6:$AC$104))),0,(_xlfn.XLOOKUP(R$5,'QB_Funds Analysis raw'!$B$5:$AC$5, _xlfn.XLOOKUP($A23,'QB_Funds Analysis raw'!$A$6:$A$104,'QB_Funds Analysis raw'!$B$6:$AC$104))))</f>
        <v>0</v>
      </c>
      <c r="S23" s="142" cm="1">
        <f t="array" ref="S23">IF(ISERROR(_xlfn.XLOOKUP(S$5,'QB_Funds Analysis raw'!$B$5:$AC$5, _xlfn.XLOOKUP($A23,'QB_Funds Analysis raw'!$A$6:$A$104,'QB_Funds Analysis raw'!$B$6:$AC$104))),0,(_xlfn.XLOOKUP(S$5,'QB_Funds Analysis raw'!$B$5:$AC$5, _xlfn.XLOOKUP($A23,'QB_Funds Analysis raw'!$A$6:$A$104,'QB_Funds Analysis raw'!$B$6:$AC$104))))</f>
        <v>0</v>
      </c>
      <c r="T23" s="142" cm="1">
        <f t="array" ref="T23">IF(ISERROR(_xlfn.XLOOKUP(T$5,'QB_Funds Analysis raw'!$B$5:$AC$5, _xlfn.XLOOKUP($A23,'QB_Funds Analysis raw'!$A$6:$A$104,'QB_Funds Analysis raw'!$B$6:$AC$104))),0,(_xlfn.XLOOKUP(T$5,'QB_Funds Analysis raw'!$B$5:$AC$5, _xlfn.XLOOKUP($A23,'QB_Funds Analysis raw'!$A$6:$A$104,'QB_Funds Analysis raw'!$B$6:$AC$104))))</f>
        <v>0</v>
      </c>
      <c r="U23" s="142" cm="1">
        <f t="array" ref="U23">IF(ISERROR(_xlfn.XLOOKUP(U$5,'QB_Funds Analysis raw'!$B$5:$AC$5, _xlfn.XLOOKUP($A23,'QB_Funds Analysis raw'!$A$6:$A$104,'QB_Funds Analysis raw'!$B$6:$AC$104))),0,(_xlfn.XLOOKUP(U$5,'QB_Funds Analysis raw'!$B$5:$AC$5, _xlfn.XLOOKUP($A23,'QB_Funds Analysis raw'!$A$6:$A$104,'QB_Funds Analysis raw'!$B$6:$AC$104))))</f>
        <v>0</v>
      </c>
      <c r="V23" s="142" cm="1">
        <f t="array" ref="V23">IF(ISERROR(_xlfn.XLOOKUP(V$5,'QB_Funds Analysis raw'!$B$5:$AC$5, _xlfn.XLOOKUP($A23,'QB_Funds Analysis raw'!$A$6:$A$104,'QB_Funds Analysis raw'!$B$6:$AC$104))),0,(_xlfn.XLOOKUP(V$5,'QB_Funds Analysis raw'!$B$5:$AC$5, _xlfn.XLOOKUP($A23,'QB_Funds Analysis raw'!$A$6:$A$104,'QB_Funds Analysis raw'!$B$6:$AC$104))))</f>
        <v>0</v>
      </c>
      <c r="W23" s="142" cm="1">
        <f t="array" ref="W23">IF(ISERROR(_xlfn.XLOOKUP(W$5,'QB_Funds Analysis raw'!$B$5:$AC$5, _xlfn.XLOOKUP($A23,'QB_Funds Analysis raw'!$A$6:$A$104,'QB_Funds Analysis raw'!$B$6:$AC$104))),0,(_xlfn.XLOOKUP(W$5,'QB_Funds Analysis raw'!$B$5:$AC$5, _xlfn.XLOOKUP($A23,'QB_Funds Analysis raw'!$A$6:$A$104,'QB_Funds Analysis raw'!$B$6:$AC$104))))</f>
        <v>0</v>
      </c>
      <c r="X23" s="142" cm="1">
        <f t="array" ref="X23">IF(ISERROR(_xlfn.XLOOKUP(X$5,'QB_Funds Analysis raw'!$B$5:$AC$5, _xlfn.XLOOKUP($A23,'QB_Funds Analysis raw'!$A$6:$A$104,'QB_Funds Analysis raw'!$B$6:$AC$104))),0,(_xlfn.XLOOKUP(X$5,'QB_Funds Analysis raw'!$B$5:$AC$5, _xlfn.XLOOKUP($A23,'QB_Funds Analysis raw'!$A$6:$A$104,'QB_Funds Analysis raw'!$B$6:$AC$104))))</f>
        <v>0</v>
      </c>
      <c r="Y23" s="142" cm="1">
        <f t="array" ref="Y23">IF(ISERROR(_xlfn.XLOOKUP(Y$5,'QB_Funds Analysis raw'!$B$5:$AC$5, _xlfn.XLOOKUP($A23,'QB_Funds Analysis raw'!$A$6:$A$104,'QB_Funds Analysis raw'!$B$6:$AC$104))),0,(_xlfn.XLOOKUP(Y$5,'QB_Funds Analysis raw'!$B$5:$AC$5, _xlfn.XLOOKUP($A23,'QB_Funds Analysis raw'!$A$6:$A$104,'QB_Funds Analysis raw'!$B$6:$AC$104))))</f>
        <v>0</v>
      </c>
      <c r="Z23" s="142" cm="1">
        <f t="array" ref="Z23">IF(ISERROR(_xlfn.XLOOKUP(Z$5,'QB_Funds Analysis raw'!$B$5:$AC$5, _xlfn.XLOOKUP($A23,'QB_Funds Analysis raw'!$A$6:$A$104,'QB_Funds Analysis raw'!$B$6:$AC$104))),0,(_xlfn.XLOOKUP(Z$5,'QB_Funds Analysis raw'!$B$5:$AC$5, _xlfn.XLOOKUP($A23,'QB_Funds Analysis raw'!$A$6:$A$104,'QB_Funds Analysis raw'!$B$6:$AC$104))))</f>
        <v>0</v>
      </c>
      <c r="AA23" s="142" cm="1">
        <f t="array" ref="AA23">IF(ISERROR(_xlfn.XLOOKUP(AA$5,'QB_Funds Analysis raw'!$B$5:$AC$5, _xlfn.XLOOKUP($A23,'QB_Funds Analysis raw'!$A$6:$A$104,'QB_Funds Analysis raw'!$B$6:$AC$104))),0,(_xlfn.XLOOKUP(AA$5,'QB_Funds Analysis raw'!$B$5:$AC$5, _xlfn.XLOOKUP($A23,'QB_Funds Analysis raw'!$A$6:$A$104,'QB_Funds Analysis raw'!$B$6:$AC$104))))</f>
        <v>0</v>
      </c>
      <c r="AB23" s="142" cm="1">
        <f t="array" ref="AB23">IF(ISERROR(_xlfn.XLOOKUP(AB$5,'QB_Funds Analysis raw'!$B$5:$AC$5, _xlfn.XLOOKUP($A23,'QB_Funds Analysis raw'!$A$6:$A$104,'QB_Funds Analysis raw'!$B$6:$AC$104))),0,(_xlfn.XLOOKUP(AB$5,'QB_Funds Analysis raw'!$B$5:$AC$5, _xlfn.XLOOKUP($A23,'QB_Funds Analysis raw'!$A$6:$A$104,'QB_Funds Analysis raw'!$B$6:$AC$104))))</f>
        <v>0</v>
      </c>
      <c r="AC23" s="142" cm="1">
        <f t="array" ref="AC23">IF(ISERROR(_xlfn.XLOOKUP(AC$5,'QB_Funds Analysis raw'!$B$5:$AC$5, _xlfn.XLOOKUP($A23,'QB_Funds Analysis raw'!$A$6:$A$104,'QB_Funds Analysis raw'!$B$6:$AC$104))),0,(_xlfn.XLOOKUP(AC$5,'QB_Funds Analysis raw'!$B$5:$AC$5, _xlfn.XLOOKUP($A23,'QB_Funds Analysis raw'!$A$6:$A$104,'QB_Funds Analysis raw'!$B$6:$AC$104))))</f>
        <v>269.89999999999998</v>
      </c>
      <c r="AD23" s="167">
        <f t="shared" si="0"/>
        <v>269.89999999999998</v>
      </c>
      <c r="AE23" s="167">
        <f t="shared" si="4"/>
        <v>0</v>
      </c>
    </row>
    <row r="24" spans="1:31" ht="20.25" customHeight="1" x14ac:dyDescent="0.25">
      <c r="A24" s="2" t="s">
        <v>465</v>
      </c>
      <c r="B24" s="142" cm="1">
        <f t="array" ref="B24">IF(ISERROR(_xlfn.XLOOKUP(B$5,'QB_Funds Analysis raw'!$B$5:$AC$5, _xlfn.XLOOKUP($A24,'QB_Funds Analysis raw'!$A$6:$A$104,'QB_Funds Analysis raw'!$B$6:$AC$104))),0,(_xlfn.XLOOKUP(B$5,'QB_Funds Analysis raw'!$B$5:$AC$5, _xlfn.XLOOKUP($A24,'QB_Funds Analysis raw'!$A$6:$A$104,'QB_Funds Analysis raw'!$B$6:$AC$104))))</f>
        <v>0</v>
      </c>
      <c r="C24" s="142" cm="1">
        <f t="array" ref="C24">IF(ISERROR(_xlfn.XLOOKUP(C$5,'QB_Funds Analysis raw'!$B$5:$AC$5, _xlfn.XLOOKUP($A24,'QB_Funds Analysis raw'!$A$6:$A$104,'QB_Funds Analysis raw'!$B$6:$AC$104))),0,(_xlfn.XLOOKUP(C$5,'QB_Funds Analysis raw'!$B$5:$AC$5, _xlfn.XLOOKUP($A24,'QB_Funds Analysis raw'!$A$6:$A$104,'QB_Funds Analysis raw'!$B$6:$AC$104))))</f>
        <v>0</v>
      </c>
      <c r="D24" s="252" cm="1">
        <f t="array" ref="D24">IF(ISERROR(_xlfn.XLOOKUP(D$5,'QB_Funds Analysis raw'!$B$5:$AC$5, _xlfn.XLOOKUP($A24,'QB_Funds Analysis raw'!$A$6:$A$104,'QB_Funds Analysis raw'!$B$6:$AC$104))),0,(_xlfn.XLOOKUP(D$5,'QB_Funds Analysis raw'!$B$5:$AC$5, _xlfn.XLOOKUP($A24,'QB_Funds Analysis raw'!$A$6:$A$104,'QB_Funds Analysis raw'!$B$6:$AC$104))))</f>
        <v>0</v>
      </c>
      <c r="E24" s="142" cm="1">
        <f t="array" ref="E24">IF(ISERROR(_xlfn.XLOOKUP(E$5,'QB_Funds Analysis raw'!$B$5:$AC$5, _xlfn.XLOOKUP($A24,'QB_Funds Analysis raw'!$A$6:$A$104,'QB_Funds Analysis raw'!$B$6:$AC$104))),0,(_xlfn.XLOOKUP(E$5,'QB_Funds Analysis raw'!$B$5:$AC$5, _xlfn.XLOOKUP($A24,'QB_Funds Analysis raw'!$A$6:$A$104,'QB_Funds Analysis raw'!$B$6:$AC$104))))</f>
        <v>0</v>
      </c>
      <c r="F24" s="142" cm="1">
        <f t="array" ref="F24">IF(ISERROR(_xlfn.XLOOKUP(F$5,'QB_Funds Analysis raw'!$B$5:$AC$5, _xlfn.XLOOKUP($A24,'QB_Funds Analysis raw'!$A$6:$A$104,'QB_Funds Analysis raw'!$B$6:$AC$104))),0,(_xlfn.XLOOKUP(F$5,'QB_Funds Analysis raw'!$B$5:$AC$5, _xlfn.XLOOKUP($A24,'QB_Funds Analysis raw'!$A$6:$A$104,'QB_Funds Analysis raw'!$B$6:$AC$104))))</f>
        <v>0</v>
      </c>
      <c r="G24" s="142" cm="1">
        <f t="array" ref="G24">IF(ISERROR(_xlfn.XLOOKUP(G$5,'QB_Funds Analysis raw'!$B$5:$AC$5, _xlfn.XLOOKUP($A24,'QB_Funds Analysis raw'!$A$6:$A$104,'QB_Funds Analysis raw'!$B$6:$AC$104))),0,(_xlfn.XLOOKUP(G$5,'QB_Funds Analysis raw'!$B$5:$AC$5, _xlfn.XLOOKUP($A24,'QB_Funds Analysis raw'!$A$6:$A$104,'QB_Funds Analysis raw'!$B$6:$AC$104))))</f>
        <v>0</v>
      </c>
      <c r="H24" s="142" cm="1">
        <f t="array" ref="H24">IF(ISERROR(_xlfn.XLOOKUP(H$5,'QB_Funds Analysis raw'!$B$5:$AC$5, _xlfn.XLOOKUP($A24,'QB_Funds Analysis raw'!$A$6:$A$104,'QB_Funds Analysis raw'!$B$6:$AC$104))),0,(_xlfn.XLOOKUP(H$5,'QB_Funds Analysis raw'!$B$5:$AC$5, _xlfn.XLOOKUP($A24,'QB_Funds Analysis raw'!$A$6:$A$104,'QB_Funds Analysis raw'!$B$6:$AC$104))))</f>
        <v>0</v>
      </c>
      <c r="I24" s="142" cm="1">
        <f t="array" ref="I24">IF(ISERROR(_xlfn.XLOOKUP(I$5,'QB_Funds Analysis raw'!$B$5:$AC$5, _xlfn.XLOOKUP($A24,'QB_Funds Analysis raw'!$A$6:$A$104,'QB_Funds Analysis raw'!$B$6:$AC$104))),0,(_xlfn.XLOOKUP(I$5,'QB_Funds Analysis raw'!$B$5:$AC$5, _xlfn.XLOOKUP($A24,'QB_Funds Analysis raw'!$A$6:$A$104,'QB_Funds Analysis raw'!$B$6:$AC$104))))</f>
        <v>0</v>
      </c>
      <c r="J24" s="142" cm="1">
        <f t="array" ref="J24">IF(ISERROR(_xlfn.XLOOKUP(J$5,'QB_Funds Analysis raw'!$B$5:$AC$5, _xlfn.XLOOKUP($A24,'QB_Funds Analysis raw'!$A$6:$A$104,'QB_Funds Analysis raw'!$B$6:$AC$104))),0,(_xlfn.XLOOKUP(J$5,'QB_Funds Analysis raw'!$B$5:$AC$5, _xlfn.XLOOKUP($A24,'QB_Funds Analysis raw'!$A$6:$A$104,'QB_Funds Analysis raw'!$B$6:$AC$104))))</f>
        <v>0</v>
      </c>
      <c r="K24" s="252" cm="1">
        <f t="array" ref="K24">IF(ISERROR(_xlfn.XLOOKUP(K$5,'QB_Funds Analysis raw'!$B$5:$AC$5, _xlfn.XLOOKUP($A24,'QB_Funds Analysis raw'!$A$6:$A$104,'QB_Funds Analysis raw'!$B$6:$AC$104))),0,(_xlfn.XLOOKUP(K$5,'QB_Funds Analysis raw'!$B$5:$AC$5, _xlfn.XLOOKUP($A24,'QB_Funds Analysis raw'!$A$6:$A$104,'QB_Funds Analysis raw'!$B$6:$AC$104))))</f>
        <v>0</v>
      </c>
      <c r="L24" s="142" cm="1">
        <f t="array" ref="L24">IF(ISERROR(_xlfn.XLOOKUP(L$5,'QB_Funds Analysis raw'!$B$5:$AC$5, _xlfn.XLOOKUP($A24,'QB_Funds Analysis raw'!$A$6:$A$104,'QB_Funds Analysis raw'!$B$6:$AC$104))),0,(_xlfn.XLOOKUP(L$5,'QB_Funds Analysis raw'!$B$5:$AC$5, _xlfn.XLOOKUP($A24,'QB_Funds Analysis raw'!$A$6:$A$104,'QB_Funds Analysis raw'!$B$6:$AC$104))))</f>
        <v>100</v>
      </c>
      <c r="M24" s="142" cm="1">
        <f t="array" ref="M24">IF(ISERROR(_xlfn.XLOOKUP(M$5,'QB_Funds Analysis raw'!$B$5:$AC$5, _xlfn.XLOOKUP($A24,'QB_Funds Analysis raw'!$A$6:$A$104,'QB_Funds Analysis raw'!$B$6:$AC$104))),0,(_xlfn.XLOOKUP(M$5,'QB_Funds Analysis raw'!$B$5:$AC$5, _xlfn.XLOOKUP($A24,'QB_Funds Analysis raw'!$A$6:$A$104,'QB_Funds Analysis raw'!$B$6:$AC$104))))</f>
        <v>0</v>
      </c>
      <c r="N24" s="252" cm="1">
        <f t="array" ref="N24">IF(ISERROR(_xlfn.XLOOKUP(N$5,'QB_Funds Analysis raw'!$B$5:$AC$5, _xlfn.XLOOKUP($A24,'QB_Funds Analysis raw'!$A$6:$A$104,'QB_Funds Analysis raw'!$B$6:$AC$104))),0,(_xlfn.XLOOKUP(N$5,'QB_Funds Analysis raw'!$B$5:$AC$5, _xlfn.XLOOKUP($A24,'QB_Funds Analysis raw'!$A$6:$A$104,'QB_Funds Analysis raw'!$B$6:$AC$104))))</f>
        <v>0</v>
      </c>
      <c r="O24" s="252" cm="1">
        <f t="array" ref="O24">IF(ISERROR(_xlfn.XLOOKUP(O$5,'QB_Funds Analysis raw'!$B$5:$AC$5, _xlfn.XLOOKUP($A24,'QB_Funds Analysis raw'!$A$6:$A$104,'QB_Funds Analysis raw'!$B$6:$AC$104))),0,(_xlfn.XLOOKUP(O$5,'QB_Funds Analysis raw'!$B$5:$AC$5, _xlfn.XLOOKUP($A24,'QB_Funds Analysis raw'!$A$6:$A$104,'QB_Funds Analysis raw'!$B$6:$AC$104))))</f>
        <v>156.65</v>
      </c>
      <c r="P24" s="142" cm="1">
        <f t="array" ref="P24">IF(ISERROR(_xlfn.XLOOKUP(P$5,'QB_Funds Analysis raw'!$B$5:$AC$5, _xlfn.XLOOKUP($A24,'QB_Funds Analysis raw'!$A$6:$A$104,'QB_Funds Analysis raw'!$B$6:$AC$104))),0,(_xlfn.XLOOKUP(P$5,'QB_Funds Analysis raw'!$B$5:$AC$5, _xlfn.XLOOKUP($A24,'QB_Funds Analysis raw'!$A$6:$A$104,'QB_Funds Analysis raw'!$B$6:$AC$104))))</f>
        <v>0</v>
      </c>
      <c r="Q24" s="247" cm="1">
        <f t="array" ref="Q24">IF(ISERROR(_xlfn.XLOOKUP(Q$5,'QB_Funds Analysis raw'!$B$5:$AC$5, _xlfn.XLOOKUP($A24,'QB_Funds Analysis raw'!$A$6:$A$104,'QB_Funds Analysis raw'!$B$6:$AC$104))),0,(_xlfn.XLOOKUP(Q$5,'QB_Funds Analysis raw'!$B$5:$AC$5, _xlfn.XLOOKUP($A24,'QB_Funds Analysis raw'!$A$6:$A$104,'QB_Funds Analysis raw'!$B$6:$AC$104))))</f>
        <v>256.64999999999998</v>
      </c>
      <c r="R24" s="142" cm="1">
        <f t="array" ref="R24">IF(ISERROR(_xlfn.XLOOKUP(R$5,'QB_Funds Analysis raw'!$B$5:$AC$5, _xlfn.XLOOKUP($A24,'QB_Funds Analysis raw'!$A$6:$A$104,'QB_Funds Analysis raw'!$B$6:$AC$104))),0,(_xlfn.XLOOKUP(R$5,'QB_Funds Analysis raw'!$B$5:$AC$5, _xlfn.XLOOKUP($A24,'QB_Funds Analysis raw'!$A$6:$A$104,'QB_Funds Analysis raw'!$B$6:$AC$104))))</f>
        <v>0</v>
      </c>
      <c r="S24" s="142" cm="1">
        <f t="array" ref="S24">IF(ISERROR(_xlfn.XLOOKUP(S$5,'QB_Funds Analysis raw'!$B$5:$AC$5, _xlfn.XLOOKUP($A24,'QB_Funds Analysis raw'!$A$6:$A$104,'QB_Funds Analysis raw'!$B$6:$AC$104))),0,(_xlfn.XLOOKUP(S$5,'QB_Funds Analysis raw'!$B$5:$AC$5, _xlfn.XLOOKUP($A24,'QB_Funds Analysis raw'!$A$6:$A$104,'QB_Funds Analysis raw'!$B$6:$AC$104))))</f>
        <v>0</v>
      </c>
      <c r="T24" s="142" cm="1">
        <f t="array" ref="T24">IF(ISERROR(_xlfn.XLOOKUP(T$5,'QB_Funds Analysis raw'!$B$5:$AC$5, _xlfn.XLOOKUP($A24,'QB_Funds Analysis raw'!$A$6:$A$104,'QB_Funds Analysis raw'!$B$6:$AC$104))),0,(_xlfn.XLOOKUP(T$5,'QB_Funds Analysis raw'!$B$5:$AC$5, _xlfn.XLOOKUP($A24,'QB_Funds Analysis raw'!$A$6:$A$104,'QB_Funds Analysis raw'!$B$6:$AC$104))))</f>
        <v>0</v>
      </c>
      <c r="U24" s="142" cm="1">
        <f t="array" ref="U24">IF(ISERROR(_xlfn.XLOOKUP(U$5,'QB_Funds Analysis raw'!$B$5:$AC$5, _xlfn.XLOOKUP($A24,'QB_Funds Analysis raw'!$A$6:$A$104,'QB_Funds Analysis raw'!$B$6:$AC$104))),0,(_xlfn.XLOOKUP(U$5,'QB_Funds Analysis raw'!$B$5:$AC$5, _xlfn.XLOOKUP($A24,'QB_Funds Analysis raw'!$A$6:$A$104,'QB_Funds Analysis raw'!$B$6:$AC$104))))</f>
        <v>0</v>
      </c>
      <c r="V24" s="142" cm="1">
        <f t="array" ref="V24">IF(ISERROR(_xlfn.XLOOKUP(V$5,'QB_Funds Analysis raw'!$B$5:$AC$5, _xlfn.XLOOKUP($A24,'QB_Funds Analysis raw'!$A$6:$A$104,'QB_Funds Analysis raw'!$B$6:$AC$104))),0,(_xlfn.XLOOKUP(V$5,'QB_Funds Analysis raw'!$B$5:$AC$5, _xlfn.XLOOKUP($A24,'QB_Funds Analysis raw'!$A$6:$A$104,'QB_Funds Analysis raw'!$B$6:$AC$104))))</f>
        <v>0</v>
      </c>
      <c r="W24" s="142" cm="1">
        <f t="array" ref="W24">IF(ISERROR(_xlfn.XLOOKUP(W$5,'QB_Funds Analysis raw'!$B$5:$AC$5, _xlfn.XLOOKUP($A24,'QB_Funds Analysis raw'!$A$6:$A$104,'QB_Funds Analysis raw'!$B$6:$AC$104))),0,(_xlfn.XLOOKUP(W$5,'QB_Funds Analysis raw'!$B$5:$AC$5, _xlfn.XLOOKUP($A24,'QB_Funds Analysis raw'!$A$6:$A$104,'QB_Funds Analysis raw'!$B$6:$AC$104))))</f>
        <v>100</v>
      </c>
      <c r="X24" s="142" cm="1">
        <f t="array" ref="X24">IF(ISERROR(_xlfn.XLOOKUP(X$5,'QB_Funds Analysis raw'!$B$5:$AC$5, _xlfn.XLOOKUP($A24,'QB_Funds Analysis raw'!$A$6:$A$104,'QB_Funds Analysis raw'!$B$6:$AC$104))),0,(_xlfn.XLOOKUP(X$5,'QB_Funds Analysis raw'!$B$5:$AC$5, _xlfn.XLOOKUP($A24,'QB_Funds Analysis raw'!$A$6:$A$104,'QB_Funds Analysis raw'!$B$6:$AC$104))))</f>
        <v>0</v>
      </c>
      <c r="Y24" s="142" cm="1">
        <f t="array" ref="Y24">IF(ISERROR(_xlfn.XLOOKUP(Y$5,'QB_Funds Analysis raw'!$B$5:$AC$5, _xlfn.XLOOKUP($A24,'QB_Funds Analysis raw'!$A$6:$A$104,'QB_Funds Analysis raw'!$B$6:$AC$104))),0,(_xlfn.XLOOKUP(Y$5,'QB_Funds Analysis raw'!$B$5:$AC$5, _xlfn.XLOOKUP($A24,'QB_Funds Analysis raw'!$A$6:$A$104,'QB_Funds Analysis raw'!$B$6:$AC$104))))</f>
        <v>951.9</v>
      </c>
      <c r="Z24" s="142" cm="1">
        <f t="array" ref="Z24">IF(ISERROR(_xlfn.XLOOKUP(Z$5,'QB_Funds Analysis raw'!$B$5:$AC$5, _xlfn.XLOOKUP($A24,'QB_Funds Analysis raw'!$A$6:$A$104,'QB_Funds Analysis raw'!$B$6:$AC$104))),0,(_xlfn.XLOOKUP(Z$5,'QB_Funds Analysis raw'!$B$5:$AC$5, _xlfn.XLOOKUP($A24,'QB_Funds Analysis raw'!$A$6:$A$104,'QB_Funds Analysis raw'!$B$6:$AC$104))))</f>
        <v>0</v>
      </c>
      <c r="AA24" s="142" cm="1">
        <f t="array" ref="AA24">IF(ISERROR(_xlfn.XLOOKUP(AA$5,'QB_Funds Analysis raw'!$B$5:$AC$5, _xlfn.XLOOKUP($A24,'QB_Funds Analysis raw'!$A$6:$A$104,'QB_Funds Analysis raw'!$B$6:$AC$104))),0,(_xlfn.XLOOKUP(AA$5,'QB_Funds Analysis raw'!$B$5:$AC$5, _xlfn.XLOOKUP($A24,'QB_Funds Analysis raw'!$A$6:$A$104,'QB_Funds Analysis raw'!$B$6:$AC$104))))</f>
        <v>0</v>
      </c>
      <c r="AB24" s="142" cm="1">
        <f t="array" ref="AB24">IF(ISERROR(_xlfn.XLOOKUP(AB$5,'QB_Funds Analysis raw'!$B$5:$AC$5, _xlfn.XLOOKUP($A24,'QB_Funds Analysis raw'!$A$6:$A$104,'QB_Funds Analysis raw'!$B$6:$AC$104))),0,(_xlfn.XLOOKUP(AB$5,'QB_Funds Analysis raw'!$B$5:$AC$5, _xlfn.XLOOKUP($A24,'QB_Funds Analysis raw'!$A$6:$A$104,'QB_Funds Analysis raw'!$B$6:$AC$104))))</f>
        <v>951.9</v>
      </c>
      <c r="AC24" s="142" cm="1">
        <f t="array" ref="AC24">IF(ISERROR(_xlfn.XLOOKUP(AC$5,'QB_Funds Analysis raw'!$B$5:$AC$5, _xlfn.XLOOKUP($A24,'QB_Funds Analysis raw'!$A$6:$A$104,'QB_Funds Analysis raw'!$B$6:$AC$104))),0,(_xlfn.XLOOKUP(AC$5,'QB_Funds Analysis raw'!$B$5:$AC$5, _xlfn.XLOOKUP($A24,'QB_Funds Analysis raw'!$A$6:$A$104,'QB_Funds Analysis raw'!$B$6:$AC$104))))</f>
        <v>1208.55</v>
      </c>
      <c r="AD24" s="167">
        <f t="shared" si="0"/>
        <v>1208.55</v>
      </c>
      <c r="AE24" s="167">
        <f t="shared" si="4"/>
        <v>0</v>
      </c>
    </row>
    <row r="25" spans="1:31" ht="20.25" customHeight="1" x14ac:dyDescent="0.25">
      <c r="A25" s="134" t="s">
        <v>32</v>
      </c>
      <c r="B25" s="151">
        <f>((B20)+(B21))+(B22)+B23+B24</f>
        <v>0</v>
      </c>
      <c r="C25" s="151">
        <f t="shared" ref="C25:AC25" si="9">((C20)+(C21))+(C22)+C23+C24</f>
        <v>0</v>
      </c>
      <c r="D25" s="253">
        <f t="shared" si="9"/>
        <v>0</v>
      </c>
      <c r="E25" s="151">
        <f t="shared" si="9"/>
        <v>0</v>
      </c>
      <c r="F25" s="151">
        <f t="shared" si="9"/>
        <v>0</v>
      </c>
      <c r="G25" s="151">
        <f t="shared" si="9"/>
        <v>0</v>
      </c>
      <c r="H25" s="151">
        <f t="shared" si="9"/>
        <v>0</v>
      </c>
      <c r="I25" s="151">
        <f t="shared" si="9"/>
        <v>0</v>
      </c>
      <c r="J25" s="151">
        <f t="shared" si="9"/>
        <v>0</v>
      </c>
      <c r="K25" s="253">
        <f t="shared" si="9"/>
        <v>0</v>
      </c>
      <c r="L25" s="151">
        <f t="shared" si="9"/>
        <v>100</v>
      </c>
      <c r="M25" s="151">
        <f t="shared" si="9"/>
        <v>0</v>
      </c>
      <c r="N25" s="253">
        <f t="shared" si="9"/>
        <v>269.89999999999998</v>
      </c>
      <c r="O25" s="253">
        <f t="shared" si="9"/>
        <v>156.65</v>
      </c>
      <c r="P25" s="151">
        <f t="shared" si="9"/>
        <v>0</v>
      </c>
      <c r="Q25" s="244">
        <f t="shared" si="9"/>
        <v>526.54999999999995</v>
      </c>
      <c r="R25" s="151">
        <f t="shared" si="9"/>
        <v>0</v>
      </c>
      <c r="S25" s="151">
        <f t="shared" si="9"/>
        <v>0</v>
      </c>
      <c r="T25" s="151">
        <f t="shared" si="9"/>
        <v>0</v>
      </c>
      <c r="U25" s="151">
        <f t="shared" si="9"/>
        <v>0</v>
      </c>
      <c r="V25" s="151">
        <f t="shared" si="9"/>
        <v>0</v>
      </c>
      <c r="W25" s="151">
        <f t="shared" si="9"/>
        <v>100</v>
      </c>
      <c r="X25" s="151">
        <f t="shared" si="9"/>
        <v>0</v>
      </c>
      <c r="Y25" s="151">
        <f t="shared" si="9"/>
        <v>951.9</v>
      </c>
      <c r="Z25" s="151">
        <f t="shared" si="9"/>
        <v>0</v>
      </c>
      <c r="AA25" s="151">
        <f t="shared" si="9"/>
        <v>0</v>
      </c>
      <c r="AB25" s="151">
        <f t="shared" si="9"/>
        <v>951.9</v>
      </c>
      <c r="AC25" s="151">
        <f t="shared" si="9"/>
        <v>1478.4499999999998</v>
      </c>
      <c r="AD25" s="167">
        <f t="shared" si="0"/>
        <v>1478.4499999999998</v>
      </c>
      <c r="AE25" s="167">
        <f t="shared" si="4"/>
        <v>0</v>
      </c>
    </row>
    <row r="26" spans="1:31" ht="20.25" customHeight="1" x14ac:dyDescent="0.25">
      <c r="A26" s="73" t="s">
        <v>33</v>
      </c>
      <c r="B26" s="142" cm="1">
        <f t="array" ref="B26">IF(ISERROR(_xlfn.XLOOKUP(B$5,'QB_Funds Analysis raw'!$B$5:$AC$5, _xlfn.XLOOKUP($A26,'QB_Funds Analysis raw'!$A$6:$A$104,'QB_Funds Analysis raw'!$B$6:$AC$104))),0,(_xlfn.XLOOKUP(B$5,'QB_Funds Analysis raw'!$B$5:$AC$5, _xlfn.XLOOKUP($A26,'QB_Funds Analysis raw'!$A$6:$A$104,'QB_Funds Analysis raw'!$B$6:$AC$104))))</f>
        <v>0</v>
      </c>
      <c r="C26" s="142" cm="1">
        <f t="array" ref="C26">IF(ISERROR(_xlfn.XLOOKUP(C$5,'QB_Funds Analysis raw'!$B$5:$AC$5, _xlfn.XLOOKUP($A26,'QB_Funds Analysis raw'!$A$6:$A$104,'QB_Funds Analysis raw'!$B$6:$AC$104))),0,(_xlfn.XLOOKUP(C$5,'QB_Funds Analysis raw'!$B$5:$AC$5, _xlfn.XLOOKUP($A26,'QB_Funds Analysis raw'!$A$6:$A$104,'QB_Funds Analysis raw'!$B$6:$AC$104))))</f>
        <v>0</v>
      </c>
      <c r="D26" s="252" cm="1">
        <f t="array" ref="D26">IF(ISERROR(_xlfn.XLOOKUP(D$5,'QB_Funds Analysis raw'!$B$5:$AC$5, _xlfn.XLOOKUP($A26,'QB_Funds Analysis raw'!$A$6:$A$104,'QB_Funds Analysis raw'!$B$6:$AC$104))),0,(_xlfn.XLOOKUP(D$5,'QB_Funds Analysis raw'!$B$5:$AC$5, _xlfn.XLOOKUP($A26,'QB_Funds Analysis raw'!$A$6:$A$104,'QB_Funds Analysis raw'!$B$6:$AC$104))))</f>
        <v>0</v>
      </c>
      <c r="E26" s="142" cm="1">
        <f t="array" ref="E26">IF(ISERROR(_xlfn.XLOOKUP(E$5,'QB_Funds Analysis raw'!$B$5:$AC$5, _xlfn.XLOOKUP($A26,'QB_Funds Analysis raw'!$A$6:$A$104,'QB_Funds Analysis raw'!$B$6:$AC$104))),0,(_xlfn.XLOOKUP(E$5,'QB_Funds Analysis raw'!$B$5:$AC$5, _xlfn.XLOOKUP($A26,'QB_Funds Analysis raw'!$A$6:$A$104,'QB_Funds Analysis raw'!$B$6:$AC$104))))</f>
        <v>0</v>
      </c>
      <c r="F26" s="142" cm="1">
        <f t="array" ref="F26">IF(ISERROR(_xlfn.XLOOKUP(F$5,'QB_Funds Analysis raw'!$B$5:$AC$5, _xlfn.XLOOKUP($A26,'QB_Funds Analysis raw'!$A$6:$A$104,'QB_Funds Analysis raw'!$B$6:$AC$104))),0,(_xlfn.XLOOKUP(F$5,'QB_Funds Analysis raw'!$B$5:$AC$5, _xlfn.XLOOKUP($A26,'QB_Funds Analysis raw'!$A$6:$A$104,'QB_Funds Analysis raw'!$B$6:$AC$104))))</f>
        <v>3566.81</v>
      </c>
      <c r="G26" s="142" cm="1">
        <f t="array" ref="G26">IF(ISERROR(_xlfn.XLOOKUP(G$5,'QB_Funds Analysis raw'!$B$5:$AC$5, _xlfn.XLOOKUP($A26,'QB_Funds Analysis raw'!$A$6:$A$104,'QB_Funds Analysis raw'!$B$6:$AC$104))),0,(_xlfn.XLOOKUP(G$5,'QB_Funds Analysis raw'!$B$5:$AC$5, _xlfn.XLOOKUP($A26,'QB_Funds Analysis raw'!$A$6:$A$104,'QB_Funds Analysis raw'!$B$6:$AC$104))))</f>
        <v>0</v>
      </c>
      <c r="H26" s="142" cm="1">
        <f t="array" ref="H26">IF(ISERROR(_xlfn.XLOOKUP(H$5,'QB_Funds Analysis raw'!$B$5:$AC$5, _xlfn.XLOOKUP($A26,'QB_Funds Analysis raw'!$A$6:$A$104,'QB_Funds Analysis raw'!$B$6:$AC$104))),0,(_xlfn.XLOOKUP(H$5,'QB_Funds Analysis raw'!$B$5:$AC$5, _xlfn.XLOOKUP($A26,'QB_Funds Analysis raw'!$A$6:$A$104,'QB_Funds Analysis raw'!$B$6:$AC$104))))</f>
        <v>0</v>
      </c>
      <c r="I26" s="142" cm="1">
        <f t="array" ref="I26">IF(ISERROR(_xlfn.XLOOKUP(I$5,'QB_Funds Analysis raw'!$B$5:$AC$5, _xlfn.XLOOKUP($A26,'QB_Funds Analysis raw'!$A$6:$A$104,'QB_Funds Analysis raw'!$B$6:$AC$104))),0,(_xlfn.XLOOKUP(I$5,'QB_Funds Analysis raw'!$B$5:$AC$5, _xlfn.XLOOKUP($A26,'QB_Funds Analysis raw'!$A$6:$A$104,'QB_Funds Analysis raw'!$B$6:$AC$104))))</f>
        <v>0</v>
      </c>
      <c r="J26" s="142" cm="1">
        <f t="array" ref="J26">IF(ISERROR(_xlfn.XLOOKUP(J$5,'QB_Funds Analysis raw'!$B$5:$AC$5, _xlfn.XLOOKUP($A26,'QB_Funds Analysis raw'!$A$6:$A$104,'QB_Funds Analysis raw'!$B$6:$AC$104))),0,(_xlfn.XLOOKUP(J$5,'QB_Funds Analysis raw'!$B$5:$AC$5, _xlfn.XLOOKUP($A26,'QB_Funds Analysis raw'!$A$6:$A$104,'QB_Funds Analysis raw'!$B$6:$AC$104))))</f>
        <v>3566.81</v>
      </c>
      <c r="K26" s="252" cm="1">
        <f t="array" ref="K26">IF(ISERROR(_xlfn.XLOOKUP(K$5,'QB_Funds Analysis raw'!$B$5:$AC$5, _xlfn.XLOOKUP($A26,'QB_Funds Analysis raw'!$A$6:$A$104,'QB_Funds Analysis raw'!$B$6:$AC$104))),0,(_xlfn.XLOOKUP(K$5,'QB_Funds Analysis raw'!$B$5:$AC$5, _xlfn.XLOOKUP($A26,'QB_Funds Analysis raw'!$A$6:$A$104,'QB_Funds Analysis raw'!$B$6:$AC$104))))</f>
        <v>2000</v>
      </c>
      <c r="L26" s="142" cm="1">
        <f t="array" ref="L26">IF(ISERROR(_xlfn.XLOOKUP(L$5,'QB_Funds Analysis raw'!$B$5:$AC$5, _xlfn.XLOOKUP($A26,'QB_Funds Analysis raw'!$A$6:$A$104,'QB_Funds Analysis raw'!$B$6:$AC$104))),0,(_xlfn.XLOOKUP(L$5,'QB_Funds Analysis raw'!$B$5:$AC$5, _xlfn.XLOOKUP($A26,'QB_Funds Analysis raw'!$A$6:$A$104,'QB_Funds Analysis raw'!$B$6:$AC$104))))</f>
        <v>6275.84</v>
      </c>
      <c r="M26" s="142" cm="1">
        <f t="array" ref="M26">IF(ISERROR(_xlfn.XLOOKUP(M$5,'QB_Funds Analysis raw'!$B$5:$AC$5, _xlfn.XLOOKUP($A26,'QB_Funds Analysis raw'!$A$6:$A$104,'QB_Funds Analysis raw'!$B$6:$AC$104))),0,(_xlfn.XLOOKUP(M$5,'QB_Funds Analysis raw'!$B$5:$AC$5, _xlfn.XLOOKUP($A26,'QB_Funds Analysis raw'!$A$6:$A$104,'QB_Funds Analysis raw'!$B$6:$AC$104))))</f>
        <v>0</v>
      </c>
      <c r="N26" s="252" cm="1">
        <f t="array" ref="N26">IF(ISERROR(_xlfn.XLOOKUP(N$5,'QB_Funds Analysis raw'!$B$5:$AC$5, _xlfn.XLOOKUP($A26,'QB_Funds Analysis raw'!$A$6:$A$104,'QB_Funds Analysis raw'!$B$6:$AC$104))),0,(_xlfn.XLOOKUP(N$5,'QB_Funds Analysis raw'!$B$5:$AC$5, _xlfn.XLOOKUP($A26,'QB_Funds Analysis raw'!$A$6:$A$104,'QB_Funds Analysis raw'!$B$6:$AC$104))))</f>
        <v>0</v>
      </c>
      <c r="O26" s="252" cm="1">
        <f t="array" ref="O26">IF(ISERROR(_xlfn.XLOOKUP(O$5,'QB_Funds Analysis raw'!$B$5:$AC$5, _xlfn.XLOOKUP($A26,'QB_Funds Analysis raw'!$A$6:$A$104,'QB_Funds Analysis raw'!$B$6:$AC$104))),0,(_xlfn.XLOOKUP(O$5,'QB_Funds Analysis raw'!$B$5:$AC$5, _xlfn.XLOOKUP($A26,'QB_Funds Analysis raw'!$A$6:$A$104,'QB_Funds Analysis raw'!$B$6:$AC$104))))</f>
        <v>2000</v>
      </c>
      <c r="P26" s="142" cm="1">
        <f t="array" ref="P26">IF(ISERROR(_xlfn.XLOOKUP(P$5,'QB_Funds Analysis raw'!$B$5:$AC$5, _xlfn.XLOOKUP($A26,'QB_Funds Analysis raw'!$A$6:$A$104,'QB_Funds Analysis raw'!$B$6:$AC$104))),0,(_xlfn.XLOOKUP(P$5,'QB_Funds Analysis raw'!$B$5:$AC$5, _xlfn.XLOOKUP($A26,'QB_Funds Analysis raw'!$A$6:$A$104,'QB_Funds Analysis raw'!$B$6:$AC$104))))</f>
        <v>0</v>
      </c>
      <c r="Q26" s="247" cm="1">
        <f t="array" ref="Q26">IF(ISERROR(_xlfn.XLOOKUP(Q$5,'QB_Funds Analysis raw'!$B$5:$AC$5, _xlfn.XLOOKUP($A26,'QB_Funds Analysis raw'!$A$6:$A$104,'QB_Funds Analysis raw'!$B$6:$AC$104))),0,(_xlfn.XLOOKUP(Q$5,'QB_Funds Analysis raw'!$B$5:$AC$5, _xlfn.XLOOKUP($A26,'QB_Funds Analysis raw'!$A$6:$A$104,'QB_Funds Analysis raw'!$B$6:$AC$104))))</f>
        <v>15142.65</v>
      </c>
      <c r="R26" s="142" cm="1">
        <f t="array" ref="R26">IF(ISERROR(_xlfn.XLOOKUP(R$5,'QB_Funds Analysis raw'!$B$5:$AC$5, _xlfn.XLOOKUP($A26,'QB_Funds Analysis raw'!$A$6:$A$104,'QB_Funds Analysis raw'!$B$6:$AC$104))),0,(_xlfn.XLOOKUP(R$5,'QB_Funds Analysis raw'!$B$5:$AC$5, _xlfn.XLOOKUP($A26,'QB_Funds Analysis raw'!$A$6:$A$104,'QB_Funds Analysis raw'!$B$6:$AC$104))))</f>
        <v>0</v>
      </c>
      <c r="S26" s="142" cm="1">
        <f t="array" ref="S26">IF(ISERROR(_xlfn.XLOOKUP(S$5,'QB_Funds Analysis raw'!$B$5:$AC$5, _xlfn.XLOOKUP($A26,'QB_Funds Analysis raw'!$A$6:$A$104,'QB_Funds Analysis raw'!$B$6:$AC$104))),0,(_xlfn.XLOOKUP(S$5,'QB_Funds Analysis raw'!$B$5:$AC$5, _xlfn.XLOOKUP($A26,'QB_Funds Analysis raw'!$A$6:$A$104,'QB_Funds Analysis raw'!$B$6:$AC$104))))</f>
        <v>0</v>
      </c>
      <c r="T26" s="142" cm="1">
        <f t="array" ref="T26">IF(ISERROR(_xlfn.XLOOKUP(T$5,'QB_Funds Analysis raw'!$B$5:$AC$5, _xlfn.XLOOKUP($A26,'QB_Funds Analysis raw'!$A$6:$A$104,'QB_Funds Analysis raw'!$B$6:$AC$104))),0,(_xlfn.XLOOKUP(T$5,'QB_Funds Analysis raw'!$B$5:$AC$5, _xlfn.XLOOKUP($A26,'QB_Funds Analysis raw'!$A$6:$A$104,'QB_Funds Analysis raw'!$B$6:$AC$104))))</f>
        <v>0</v>
      </c>
      <c r="U26" s="142" cm="1">
        <f t="array" ref="U26">IF(ISERROR(_xlfn.XLOOKUP(U$5,'QB_Funds Analysis raw'!$B$5:$AC$5, _xlfn.XLOOKUP($A26,'QB_Funds Analysis raw'!$A$6:$A$104,'QB_Funds Analysis raw'!$B$6:$AC$104))),0,(_xlfn.XLOOKUP(U$5,'QB_Funds Analysis raw'!$B$5:$AC$5, _xlfn.XLOOKUP($A26,'QB_Funds Analysis raw'!$A$6:$A$104,'QB_Funds Analysis raw'!$B$6:$AC$104))))</f>
        <v>0</v>
      </c>
      <c r="V26" s="142" cm="1">
        <f t="array" ref="V26">IF(ISERROR(_xlfn.XLOOKUP(V$5,'QB_Funds Analysis raw'!$B$5:$AC$5, _xlfn.XLOOKUP($A26,'QB_Funds Analysis raw'!$A$6:$A$104,'QB_Funds Analysis raw'!$B$6:$AC$104))),0,(_xlfn.XLOOKUP(V$5,'QB_Funds Analysis raw'!$B$5:$AC$5, _xlfn.XLOOKUP($A26,'QB_Funds Analysis raw'!$A$6:$A$104,'QB_Funds Analysis raw'!$B$6:$AC$104))))</f>
        <v>0</v>
      </c>
      <c r="W26" s="142" cm="1">
        <f t="array" ref="W26">IF(ISERROR(_xlfn.XLOOKUP(W$5,'QB_Funds Analysis raw'!$B$5:$AC$5, _xlfn.XLOOKUP($A26,'QB_Funds Analysis raw'!$A$6:$A$104,'QB_Funds Analysis raw'!$B$6:$AC$104))),0,(_xlfn.XLOOKUP(W$5,'QB_Funds Analysis raw'!$B$5:$AC$5, _xlfn.XLOOKUP($A26,'QB_Funds Analysis raw'!$A$6:$A$104,'QB_Funds Analysis raw'!$B$6:$AC$104))))</f>
        <v>6275.84</v>
      </c>
      <c r="X26" s="142" cm="1">
        <f t="array" ref="X26">IF(ISERROR(_xlfn.XLOOKUP(X$5,'QB_Funds Analysis raw'!$B$5:$AC$5, _xlfn.XLOOKUP($A26,'QB_Funds Analysis raw'!$A$6:$A$104,'QB_Funds Analysis raw'!$B$6:$AC$104))),0,(_xlfn.XLOOKUP(X$5,'QB_Funds Analysis raw'!$B$5:$AC$5, _xlfn.XLOOKUP($A26,'QB_Funds Analysis raw'!$A$6:$A$104,'QB_Funds Analysis raw'!$B$6:$AC$104))))</f>
        <v>0</v>
      </c>
      <c r="Y26" s="142" cm="1">
        <f t="array" ref="Y26">IF(ISERROR(_xlfn.XLOOKUP(Y$5,'QB_Funds Analysis raw'!$B$5:$AC$5, _xlfn.XLOOKUP($A26,'QB_Funds Analysis raw'!$A$6:$A$104,'QB_Funds Analysis raw'!$B$6:$AC$104))),0,(_xlfn.XLOOKUP(Y$5,'QB_Funds Analysis raw'!$B$5:$AC$5, _xlfn.XLOOKUP($A26,'QB_Funds Analysis raw'!$A$6:$A$104,'QB_Funds Analysis raw'!$B$6:$AC$104))))</f>
        <v>0</v>
      </c>
      <c r="Z26" s="142" cm="1">
        <f t="array" ref="Z26">IF(ISERROR(_xlfn.XLOOKUP(Z$5,'QB_Funds Analysis raw'!$B$5:$AC$5, _xlfn.XLOOKUP($A26,'QB_Funds Analysis raw'!$A$6:$A$104,'QB_Funds Analysis raw'!$B$6:$AC$104))),0,(_xlfn.XLOOKUP(Z$5,'QB_Funds Analysis raw'!$B$5:$AC$5, _xlfn.XLOOKUP($A26,'QB_Funds Analysis raw'!$A$6:$A$104,'QB_Funds Analysis raw'!$B$6:$AC$104))))</f>
        <v>0</v>
      </c>
      <c r="AA26" s="142" cm="1">
        <f t="array" ref="AA26">IF(ISERROR(_xlfn.XLOOKUP(AA$5,'QB_Funds Analysis raw'!$B$5:$AC$5, _xlfn.XLOOKUP($A26,'QB_Funds Analysis raw'!$A$6:$A$104,'QB_Funds Analysis raw'!$B$6:$AC$104))),0,(_xlfn.XLOOKUP(AA$5,'QB_Funds Analysis raw'!$B$5:$AC$5, _xlfn.XLOOKUP($A26,'QB_Funds Analysis raw'!$A$6:$A$104,'QB_Funds Analysis raw'!$B$6:$AC$104))))</f>
        <v>0</v>
      </c>
      <c r="AB26" s="142" cm="1">
        <f t="array" ref="AB26">IF(ISERROR(_xlfn.XLOOKUP(AB$5,'QB_Funds Analysis raw'!$B$5:$AC$5, _xlfn.XLOOKUP($A26,'QB_Funds Analysis raw'!$A$6:$A$104,'QB_Funds Analysis raw'!$B$6:$AC$104))),0,(_xlfn.XLOOKUP(AB$5,'QB_Funds Analysis raw'!$B$5:$AC$5, _xlfn.XLOOKUP($A26,'QB_Funds Analysis raw'!$A$6:$A$104,'QB_Funds Analysis raw'!$B$6:$AC$104))))</f>
        <v>13878.65</v>
      </c>
      <c r="AC26" s="142" cm="1">
        <f t="array" ref="AC26">IF(ISERROR(_xlfn.XLOOKUP(AC$5,'QB_Funds Analysis raw'!$B$5:$AC$5, _xlfn.XLOOKUP($A26,'QB_Funds Analysis raw'!$A$6:$A$104,'QB_Funds Analysis raw'!$B$6:$AC$104))),0,(_xlfn.XLOOKUP(AC$5,'QB_Funds Analysis raw'!$B$5:$AC$5, _xlfn.XLOOKUP($A26,'QB_Funds Analysis raw'!$A$6:$A$104,'QB_Funds Analysis raw'!$B$6:$AC$104))))</f>
        <v>29021.3</v>
      </c>
      <c r="AD26" s="167">
        <f t="shared" si="0"/>
        <v>29021.3</v>
      </c>
      <c r="AE26" s="167">
        <f t="shared" si="4"/>
        <v>0</v>
      </c>
    </row>
    <row r="27" spans="1:31" ht="20.25" customHeight="1" x14ac:dyDescent="0.25">
      <c r="A27" s="2" t="s">
        <v>34</v>
      </c>
      <c r="B27" s="142" cm="1">
        <f t="array" ref="B27">IF(ISERROR(_xlfn.XLOOKUP(B$5,'QB_Funds Analysis raw'!$B$5:$AC$5, _xlfn.XLOOKUP($A27,'QB_Funds Analysis raw'!$A$6:$A$104,'QB_Funds Analysis raw'!$B$6:$AC$104))),0,(_xlfn.XLOOKUP(B$5,'QB_Funds Analysis raw'!$B$5:$AC$5, _xlfn.XLOOKUP($A27,'QB_Funds Analysis raw'!$A$6:$A$104,'QB_Funds Analysis raw'!$B$6:$AC$104))))</f>
        <v>0</v>
      </c>
      <c r="C27" s="142" cm="1">
        <f t="array" ref="C27">IF(ISERROR(_xlfn.XLOOKUP(C$5,'QB_Funds Analysis raw'!$B$5:$AC$5, _xlfn.XLOOKUP($A27,'QB_Funds Analysis raw'!$A$6:$A$104,'QB_Funds Analysis raw'!$B$6:$AC$104))),0,(_xlfn.XLOOKUP(C$5,'QB_Funds Analysis raw'!$B$5:$AC$5, _xlfn.XLOOKUP($A27,'QB_Funds Analysis raw'!$A$6:$A$104,'QB_Funds Analysis raw'!$B$6:$AC$104))))</f>
        <v>0</v>
      </c>
      <c r="D27" s="252" cm="1">
        <f t="array" ref="D27">IF(ISERROR(_xlfn.XLOOKUP(D$5,'QB_Funds Analysis raw'!$B$5:$AC$5, _xlfn.XLOOKUP($A27,'QB_Funds Analysis raw'!$A$6:$A$104,'QB_Funds Analysis raw'!$B$6:$AC$104))),0,(_xlfn.XLOOKUP(D$5,'QB_Funds Analysis raw'!$B$5:$AC$5, _xlfn.XLOOKUP($A27,'QB_Funds Analysis raw'!$A$6:$A$104,'QB_Funds Analysis raw'!$B$6:$AC$104))))</f>
        <v>0</v>
      </c>
      <c r="E27" s="142" cm="1">
        <f t="array" ref="E27">IF(ISERROR(_xlfn.XLOOKUP(E$5,'QB_Funds Analysis raw'!$B$5:$AC$5, _xlfn.XLOOKUP($A27,'QB_Funds Analysis raw'!$A$6:$A$104,'QB_Funds Analysis raw'!$B$6:$AC$104))),0,(_xlfn.XLOOKUP(E$5,'QB_Funds Analysis raw'!$B$5:$AC$5, _xlfn.XLOOKUP($A27,'QB_Funds Analysis raw'!$A$6:$A$104,'QB_Funds Analysis raw'!$B$6:$AC$104))))</f>
        <v>0</v>
      </c>
      <c r="F27" s="142" cm="1">
        <f t="array" ref="F27">IF(ISERROR(_xlfn.XLOOKUP(F$5,'QB_Funds Analysis raw'!$B$5:$AC$5, _xlfn.XLOOKUP($A27,'QB_Funds Analysis raw'!$A$6:$A$104,'QB_Funds Analysis raw'!$B$6:$AC$104))),0,(_xlfn.XLOOKUP(F$5,'QB_Funds Analysis raw'!$B$5:$AC$5, _xlfn.XLOOKUP($A27,'QB_Funds Analysis raw'!$A$6:$A$104,'QB_Funds Analysis raw'!$B$6:$AC$104))))</f>
        <v>0</v>
      </c>
      <c r="G27" s="142" cm="1">
        <f t="array" ref="G27">IF(ISERROR(_xlfn.XLOOKUP(G$5,'QB_Funds Analysis raw'!$B$5:$AC$5, _xlfn.XLOOKUP($A27,'QB_Funds Analysis raw'!$A$6:$A$104,'QB_Funds Analysis raw'!$B$6:$AC$104))),0,(_xlfn.XLOOKUP(G$5,'QB_Funds Analysis raw'!$B$5:$AC$5, _xlfn.XLOOKUP($A27,'QB_Funds Analysis raw'!$A$6:$A$104,'QB_Funds Analysis raw'!$B$6:$AC$104))))</f>
        <v>0</v>
      </c>
      <c r="H27" s="142" cm="1">
        <f t="array" ref="H27">IF(ISERROR(_xlfn.XLOOKUP(H$5,'QB_Funds Analysis raw'!$B$5:$AC$5, _xlfn.XLOOKUP($A27,'QB_Funds Analysis raw'!$A$6:$A$104,'QB_Funds Analysis raw'!$B$6:$AC$104))),0,(_xlfn.XLOOKUP(H$5,'QB_Funds Analysis raw'!$B$5:$AC$5, _xlfn.XLOOKUP($A27,'QB_Funds Analysis raw'!$A$6:$A$104,'QB_Funds Analysis raw'!$B$6:$AC$104))))</f>
        <v>489.45</v>
      </c>
      <c r="I27" s="142" cm="1">
        <f t="array" ref="I27">IF(ISERROR(_xlfn.XLOOKUP(I$5,'QB_Funds Analysis raw'!$B$5:$AC$5, _xlfn.XLOOKUP($A27,'QB_Funds Analysis raw'!$A$6:$A$104,'QB_Funds Analysis raw'!$B$6:$AC$104))),0,(_xlfn.XLOOKUP(I$5,'QB_Funds Analysis raw'!$B$5:$AC$5, _xlfn.XLOOKUP($A27,'QB_Funds Analysis raw'!$A$6:$A$104,'QB_Funds Analysis raw'!$B$6:$AC$104))))</f>
        <v>0</v>
      </c>
      <c r="J27" s="142" cm="1">
        <f t="array" ref="J27">IF(ISERROR(_xlfn.XLOOKUP(J$5,'QB_Funds Analysis raw'!$B$5:$AC$5, _xlfn.XLOOKUP($A27,'QB_Funds Analysis raw'!$A$6:$A$104,'QB_Funds Analysis raw'!$B$6:$AC$104))),0,(_xlfn.XLOOKUP(J$5,'QB_Funds Analysis raw'!$B$5:$AC$5, _xlfn.XLOOKUP($A27,'QB_Funds Analysis raw'!$A$6:$A$104,'QB_Funds Analysis raw'!$B$6:$AC$104))))</f>
        <v>0</v>
      </c>
      <c r="K27" s="252" cm="1">
        <f t="array" ref="K27">IF(ISERROR(_xlfn.XLOOKUP(K$5,'QB_Funds Analysis raw'!$B$5:$AC$5, _xlfn.XLOOKUP($A27,'QB_Funds Analysis raw'!$A$6:$A$104,'QB_Funds Analysis raw'!$B$6:$AC$104))),0,(_xlfn.XLOOKUP(K$5,'QB_Funds Analysis raw'!$B$5:$AC$5, _xlfn.XLOOKUP($A27,'QB_Funds Analysis raw'!$A$6:$A$104,'QB_Funds Analysis raw'!$B$6:$AC$104))))</f>
        <v>0</v>
      </c>
      <c r="L27" s="142" cm="1">
        <f t="array" ref="L27">IF(ISERROR(_xlfn.XLOOKUP(L$5,'QB_Funds Analysis raw'!$B$5:$AC$5, _xlfn.XLOOKUP($A27,'QB_Funds Analysis raw'!$A$6:$A$104,'QB_Funds Analysis raw'!$B$6:$AC$104))),0,(_xlfn.XLOOKUP(L$5,'QB_Funds Analysis raw'!$B$5:$AC$5, _xlfn.XLOOKUP($A27,'QB_Funds Analysis raw'!$A$6:$A$104,'QB_Funds Analysis raw'!$B$6:$AC$104))))</f>
        <v>0</v>
      </c>
      <c r="M27" s="142" cm="1">
        <f t="array" ref="M27">IF(ISERROR(_xlfn.XLOOKUP(M$5,'QB_Funds Analysis raw'!$B$5:$AC$5, _xlfn.XLOOKUP($A27,'QB_Funds Analysis raw'!$A$6:$A$104,'QB_Funds Analysis raw'!$B$6:$AC$104))),0,(_xlfn.XLOOKUP(M$5,'QB_Funds Analysis raw'!$B$5:$AC$5, _xlfn.XLOOKUP($A27,'QB_Funds Analysis raw'!$A$6:$A$104,'QB_Funds Analysis raw'!$B$6:$AC$104))))</f>
        <v>0</v>
      </c>
      <c r="N27" s="252" cm="1">
        <f t="array" ref="N27">IF(ISERROR(_xlfn.XLOOKUP(N$5,'QB_Funds Analysis raw'!$B$5:$AC$5, _xlfn.XLOOKUP($A27,'QB_Funds Analysis raw'!$A$6:$A$104,'QB_Funds Analysis raw'!$B$6:$AC$104))),0,(_xlfn.XLOOKUP(N$5,'QB_Funds Analysis raw'!$B$5:$AC$5, _xlfn.XLOOKUP($A27,'QB_Funds Analysis raw'!$A$6:$A$104,'QB_Funds Analysis raw'!$B$6:$AC$104))))</f>
        <v>12</v>
      </c>
      <c r="O27" s="252" cm="1">
        <f t="array" ref="O27">IF(ISERROR(_xlfn.XLOOKUP(O$5,'QB_Funds Analysis raw'!$B$5:$AC$5, _xlfn.XLOOKUP($A27,'QB_Funds Analysis raw'!$A$6:$A$104,'QB_Funds Analysis raw'!$B$6:$AC$104))),0,(_xlfn.XLOOKUP(O$5,'QB_Funds Analysis raw'!$B$5:$AC$5, _xlfn.XLOOKUP($A27,'QB_Funds Analysis raw'!$A$6:$A$104,'QB_Funds Analysis raw'!$B$6:$AC$104))))</f>
        <v>247.33</v>
      </c>
      <c r="P27" s="142" cm="1">
        <f t="array" ref="P27">IF(ISERROR(_xlfn.XLOOKUP(P$5,'QB_Funds Analysis raw'!$B$5:$AC$5, _xlfn.XLOOKUP($A27,'QB_Funds Analysis raw'!$A$6:$A$104,'QB_Funds Analysis raw'!$B$6:$AC$104))),0,(_xlfn.XLOOKUP(P$5,'QB_Funds Analysis raw'!$B$5:$AC$5, _xlfn.XLOOKUP($A27,'QB_Funds Analysis raw'!$A$6:$A$104,'QB_Funds Analysis raw'!$B$6:$AC$104))))</f>
        <v>0</v>
      </c>
      <c r="Q27" s="247" cm="1">
        <f t="array" ref="Q27">IF(ISERROR(_xlfn.XLOOKUP(Q$5,'QB_Funds Analysis raw'!$B$5:$AC$5, _xlfn.XLOOKUP($A27,'QB_Funds Analysis raw'!$A$6:$A$104,'QB_Funds Analysis raw'!$B$6:$AC$104))),0,(_xlfn.XLOOKUP(Q$5,'QB_Funds Analysis raw'!$B$5:$AC$5, _xlfn.XLOOKUP($A27,'QB_Funds Analysis raw'!$A$6:$A$104,'QB_Funds Analysis raw'!$B$6:$AC$104))))</f>
        <v>322.08000000000004</v>
      </c>
      <c r="R27" s="142" cm="1">
        <f t="array" ref="R27">IF(ISERROR(_xlfn.XLOOKUP(R$5,'QB_Funds Analysis raw'!$B$5:$AC$5, _xlfn.XLOOKUP($A27,'QB_Funds Analysis raw'!$A$6:$A$104,'QB_Funds Analysis raw'!$B$6:$AC$104))),0,(_xlfn.XLOOKUP(R$5,'QB_Funds Analysis raw'!$B$5:$AC$5, _xlfn.XLOOKUP($A27,'QB_Funds Analysis raw'!$A$6:$A$104,'QB_Funds Analysis raw'!$B$6:$AC$104))))</f>
        <v>0</v>
      </c>
      <c r="S27" s="142" cm="1">
        <f t="array" ref="S27">IF(ISERROR(_xlfn.XLOOKUP(S$5,'QB_Funds Analysis raw'!$B$5:$AC$5, _xlfn.XLOOKUP($A27,'QB_Funds Analysis raw'!$A$6:$A$104,'QB_Funds Analysis raw'!$B$6:$AC$104))),0,(_xlfn.XLOOKUP(S$5,'QB_Funds Analysis raw'!$B$5:$AC$5, _xlfn.XLOOKUP($A27,'QB_Funds Analysis raw'!$A$6:$A$104,'QB_Funds Analysis raw'!$B$6:$AC$104))))</f>
        <v>0</v>
      </c>
      <c r="T27" s="142" cm="1">
        <f t="array" ref="T27">IF(ISERROR(_xlfn.XLOOKUP(T$5,'QB_Funds Analysis raw'!$B$5:$AC$5, _xlfn.XLOOKUP($A27,'QB_Funds Analysis raw'!$A$6:$A$104,'QB_Funds Analysis raw'!$B$6:$AC$104))),0,(_xlfn.XLOOKUP(T$5,'QB_Funds Analysis raw'!$B$5:$AC$5, _xlfn.XLOOKUP($A27,'QB_Funds Analysis raw'!$A$6:$A$104,'QB_Funds Analysis raw'!$B$6:$AC$104))))</f>
        <v>0</v>
      </c>
      <c r="U27" s="142" cm="1">
        <f t="array" ref="U27">IF(ISERROR(_xlfn.XLOOKUP(U$5,'QB_Funds Analysis raw'!$B$5:$AC$5, _xlfn.XLOOKUP($A27,'QB_Funds Analysis raw'!$A$6:$A$104,'QB_Funds Analysis raw'!$B$6:$AC$104))),0,(_xlfn.XLOOKUP(U$5,'QB_Funds Analysis raw'!$B$5:$AC$5, _xlfn.XLOOKUP($A27,'QB_Funds Analysis raw'!$A$6:$A$104,'QB_Funds Analysis raw'!$B$6:$AC$104))))</f>
        <v>0</v>
      </c>
      <c r="V27" s="142" cm="1">
        <f t="array" ref="V27">IF(ISERROR(_xlfn.XLOOKUP(V$5,'QB_Funds Analysis raw'!$B$5:$AC$5, _xlfn.XLOOKUP($A27,'QB_Funds Analysis raw'!$A$6:$A$104,'QB_Funds Analysis raw'!$B$6:$AC$104))),0,(_xlfn.XLOOKUP(V$5,'QB_Funds Analysis raw'!$B$5:$AC$5, _xlfn.XLOOKUP($A27,'QB_Funds Analysis raw'!$A$6:$A$104,'QB_Funds Analysis raw'!$B$6:$AC$104))))</f>
        <v>0</v>
      </c>
      <c r="W27" s="142" cm="1">
        <f t="array" ref="W27">IF(ISERROR(_xlfn.XLOOKUP(W$5,'QB_Funds Analysis raw'!$B$5:$AC$5, _xlfn.XLOOKUP($A27,'QB_Funds Analysis raw'!$A$6:$A$104,'QB_Funds Analysis raw'!$B$6:$AC$104))),0,(_xlfn.XLOOKUP(W$5,'QB_Funds Analysis raw'!$B$5:$AC$5, _xlfn.XLOOKUP($A27,'QB_Funds Analysis raw'!$A$6:$A$104,'QB_Funds Analysis raw'!$B$6:$AC$104))))</f>
        <v>0</v>
      </c>
      <c r="X27" s="142" cm="1">
        <f t="array" ref="X27">IF(ISERROR(_xlfn.XLOOKUP(X$5,'QB_Funds Analysis raw'!$B$5:$AC$5, _xlfn.XLOOKUP($A27,'QB_Funds Analysis raw'!$A$6:$A$104,'QB_Funds Analysis raw'!$B$6:$AC$104))),0,(_xlfn.XLOOKUP(X$5,'QB_Funds Analysis raw'!$B$5:$AC$5, _xlfn.XLOOKUP($A27,'QB_Funds Analysis raw'!$A$6:$A$104,'QB_Funds Analysis raw'!$B$6:$AC$104))))</f>
        <v>0</v>
      </c>
      <c r="Y27" s="142" cm="1">
        <f t="array" ref="Y27">IF(ISERROR(_xlfn.XLOOKUP(Y$5,'QB_Funds Analysis raw'!$B$5:$AC$5, _xlfn.XLOOKUP($A27,'QB_Funds Analysis raw'!$A$6:$A$104,'QB_Funds Analysis raw'!$B$6:$AC$104))),0,(_xlfn.XLOOKUP(Y$5,'QB_Funds Analysis raw'!$B$5:$AC$5, _xlfn.XLOOKUP($A27,'QB_Funds Analysis raw'!$A$6:$A$104,'QB_Funds Analysis raw'!$B$6:$AC$104))))</f>
        <v>172</v>
      </c>
      <c r="Z27" s="142" cm="1">
        <f t="array" ref="Z27">IF(ISERROR(_xlfn.XLOOKUP(Z$5,'QB_Funds Analysis raw'!$B$5:$AC$5, _xlfn.XLOOKUP($A27,'QB_Funds Analysis raw'!$A$6:$A$104,'QB_Funds Analysis raw'!$B$6:$AC$104))),0,(_xlfn.XLOOKUP(Z$5,'QB_Funds Analysis raw'!$B$5:$AC$5, _xlfn.XLOOKUP($A27,'QB_Funds Analysis raw'!$A$6:$A$104,'QB_Funds Analysis raw'!$B$6:$AC$104))))</f>
        <v>0</v>
      </c>
      <c r="AA27" s="142" cm="1">
        <f t="array" ref="AA27">IF(ISERROR(_xlfn.XLOOKUP(AA$5,'QB_Funds Analysis raw'!$B$5:$AC$5, _xlfn.XLOOKUP($A27,'QB_Funds Analysis raw'!$A$6:$A$104,'QB_Funds Analysis raw'!$B$6:$AC$104))),0,(_xlfn.XLOOKUP(AA$5,'QB_Funds Analysis raw'!$B$5:$AC$5, _xlfn.XLOOKUP($A27,'QB_Funds Analysis raw'!$A$6:$A$104,'QB_Funds Analysis raw'!$B$6:$AC$104))))</f>
        <v>0</v>
      </c>
      <c r="AB27" s="142" cm="1">
        <f t="array" ref="AB27">IF(ISERROR(_xlfn.XLOOKUP(AB$5,'QB_Funds Analysis raw'!$B$5:$AC$5, _xlfn.XLOOKUP($A27,'QB_Funds Analysis raw'!$A$6:$A$104,'QB_Funds Analysis raw'!$B$6:$AC$104))),0,(_xlfn.XLOOKUP(AB$5,'QB_Funds Analysis raw'!$B$5:$AC$5, _xlfn.XLOOKUP($A27,'QB_Funds Analysis raw'!$A$6:$A$104,'QB_Funds Analysis raw'!$B$6:$AC$104))))</f>
        <v>1742.67</v>
      </c>
      <c r="AC27" s="142" cm="1">
        <f t="array" ref="AC27">IF(ISERROR(_xlfn.XLOOKUP(AC$5,'QB_Funds Analysis raw'!$B$5:$AC$5, _xlfn.XLOOKUP($A27,'QB_Funds Analysis raw'!$A$6:$A$104,'QB_Funds Analysis raw'!$B$6:$AC$104))),0,(_xlfn.XLOOKUP(AC$5,'QB_Funds Analysis raw'!$B$5:$AC$5, _xlfn.XLOOKUP($A27,'QB_Funds Analysis raw'!$A$6:$A$104,'QB_Funds Analysis raw'!$B$6:$AC$104))))</f>
        <v>2064.75</v>
      </c>
      <c r="AD27" s="167">
        <f t="shared" si="0"/>
        <v>2064.75</v>
      </c>
      <c r="AE27" s="167">
        <f t="shared" si="4"/>
        <v>0</v>
      </c>
    </row>
    <row r="28" spans="1:31" ht="20.25" customHeight="1" x14ac:dyDescent="0.25">
      <c r="A28" s="2" t="s">
        <v>35</v>
      </c>
      <c r="B28" s="142" cm="1">
        <f t="array" ref="B28">IF(ISERROR(_xlfn.XLOOKUP(B$5,'QB_Funds Analysis raw'!$B$5:$AC$5, _xlfn.XLOOKUP($A28,'QB_Funds Analysis raw'!$A$6:$A$104,'QB_Funds Analysis raw'!$B$6:$AC$104))),0,(_xlfn.XLOOKUP(B$5,'QB_Funds Analysis raw'!$B$5:$AC$5, _xlfn.XLOOKUP($A28,'QB_Funds Analysis raw'!$A$6:$A$104,'QB_Funds Analysis raw'!$B$6:$AC$104))))</f>
        <v>0</v>
      </c>
      <c r="C28" s="142" cm="1">
        <f t="array" ref="C28">IF(ISERROR(_xlfn.XLOOKUP(C$5,'QB_Funds Analysis raw'!$B$5:$AC$5, _xlfn.XLOOKUP($A28,'QB_Funds Analysis raw'!$A$6:$A$104,'QB_Funds Analysis raw'!$B$6:$AC$104))),0,(_xlfn.XLOOKUP(C$5,'QB_Funds Analysis raw'!$B$5:$AC$5, _xlfn.XLOOKUP($A28,'QB_Funds Analysis raw'!$A$6:$A$104,'QB_Funds Analysis raw'!$B$6:$AC$104))))</f>
        <v>0</v>
      </c>
      <c r="D28" s="252" cm="1">
        <f t="array" ref="D28">IF(ISERROR(_xlfn.XLOOKUP(D$5,'QB_Funds Analysis raw'!$B$5:$AC$5, _xlfn.XLOOKUP($A28,'QB_Funds Analysis raw'!$A$6:$A$104,'QB_Funds Analysis raw'!$B$6:$AC$104))),0,(_xlfn.XLOOKUP(D$5,'QB_Funds Analysis raw'!$B$5:$AC$5, _xlfn.XLOOKUP($A28,'QB_Funds Analysis raw'!$A$6:$A$104,'QB_Funds Analysis raw'!$B$6:$AC$104))))</f>
        <v>0</v>
      </c>
      <c r="E28" s="142" cm="1">
        <f t="array" ref="E28">IF(ISERROR(_xlfn.XLOOKUP(E$5,'QB_Funds Analysis raw'!$B$5:$AC$5, _xlfn.XLOOKUP($A28,'QB_Funds Analysis raw'!$A$6:$A$104,'QB_Funds Analysis raw'!$B$6:$AC$104))),0,(_xlfn.XLOOKUP(E$5,'QB_Funds Analysis raw'!$B$5:$AC$5, _xlfn.XLOOKUP($A28,'QB_Funds Analysis raw'!$A$6:$A$104,'QB_Funds Analysis raw'!$B$6:$AC$104))))</f>
        <v>0</v>
      </c>
      <c r="F28" s="142" cm="1">
        <f t="array" ref="F28">IF(ISERROR(_xlfn.XLOOKUP(F$5,'QB_Funds Analysis raw'!$B$5:$AC$5, _xlfn.XLOOKUP($A28,'QB_Funds Analysis raw'!$A$6:$A$104,'QB_Funds Analysis raw'!$B$6:$AC$104))),0,(_xlfn.XLOOKUP(F$5,'QB_Funds Analysis raw'!$B$5:$AC$5, _xlfn.XLOOKUP($A28,'QB_Funds Analysis raw'!$A$6:$A$104,'QB_Funds Analysis raw'!$B$6:$AC$104))))</f>
        <v>0</v>
      </c>
      <c r="G28" s="142" cm="1">
        <f t="array" ref="G28">IF(ISERROR(_xlfn.XLOOKUP(G$5,'QB_Funds Analysis raw'!$B$5:$AC$5, _xlfn.XLOOKUP($A28,'QB_Funds Analysis raw'!$A$6:$A$104,'QB_Funds Analysis raw'!$B$6:$AC$104))),0,(_xlfn.XLOOKUP(G$5,'QB_Funds Analysis raw'!$B$5:$AC$5, _xlfn.XLOOKUP($A28,'QB_Funds Analysis raw'!$A$6:$A$104,'QB_Funds Analysis raw'!$B$6:$AC$104))))</f>
        <v>0</v>
      </c>
      <c r="H28" s="142" cm="1">
        <f t="array" ref="H28">IF(ISERROR(_xlfn.XLOOKUP(H$5,'QB_Funds Analysis raw'!$B$5:$AC$5, _xlfn.XLOOKUP($A28,'QB_Funds Analysis raw'!$A$6:$A$104,'QB_Funds Analysis raw'!$B$6:$AC$104))),0,(_xlfn.XLOOKUP(H$5,'QB_Funds Analysis raw'!$B$5:$AC$5, _xlfn.XLOOKUP($A28,'QB_Funds Analysis raw'!$A$6:$A$104,'QB_Funds Analysis raw'!$B$6:$AC$104))))</f>
        <v>0</v>
      </c>
      <c r="I28" s="142" cm="1">
        <f t="array" ref="I28">IF(ISERROR(_xlfn.XLOOKUP(I$5,'QB_Funds Analysis raw'!$B$5:$AC$5, _xlfn.XLOOKUP($A28,'QB_Funds Analysis raw'!$A$6:$A$104,'QB_Funds Analysis raw'!$B$6:$AC$104))),0,(_xlfn.XLOOKUP(I$5,'QB_Funds Analysis raw'!$B$5:$AC$5, _xlfn.XLOOKUP($A28,'QB_Funds Analysis raw'!$A$6:$A$104,'QB_Funds Analysis raw'!$B$6:$AC$104))))</f>
        <v>0</v>
      </c>
      <c r="J28" s="142" cm="1">
        <f t="array" ref="J28">IF(ISERROR(_xlfn.XLOOKUP(J$5,'QB_Funds Analysis raw'!$B$5:$AC$5, _xlfn.XLOOKUP($A28,'QB_Funds Analysis raw'!$A$6:$A$104,'QB_Funds Analysis raw'!$B$6:$AC$104))),0,(_xlfn.XLOOKUP(J$5,'QB_Funds Analysis raw'!$B$5:$AC$5, _xlfn.XLOOKUP($A28,'QB_Funds Analysis raw'!$A$6:$A$104,'QB_Funds Analysis raw'!$B$6:$AC$104))))</f>
        <v>0</v>
      </c>
      <c r="K28" s="252" cm="1">
        <f t="array" ref="K28">IF(ISERROR(_xlfn.XLOOKUP(K$5,'QB_Funds Analysis raw'!$B$5:$AC$5, _xlfn.XLOOKUP($A28,'QB_Funds Analysis raw'!$A$6:$A$104,'QB_Funds Analysis raw'!$B$6:$AC$104))),0,(_xlfn.XLOOKUP(K$5,'QB_Funds Analysis raw'!$B$5:$AC$5, _xlfn.XLOOKUP($A28,'QB_Funds Analysis raw'!$A$6:$A$104,'QB_Funds Analysis raw'!$B$6:$AC$104))))</f>
        <v>0</v>
      </c>
      <c r="L28" s="142" cm="1">
        <f t="array" ref="L28">IF(ISERROR(_xlfn.XLOOKUP(L$5,'QB_Funds Analysis raw'!$B$5:$AC$5, _xlfn.XLOOKUP($A28,'QB_Funds Analysis raw'!$A$6:$A$104,'QB_Funds Analysis raw'!$B$6:$AC$104))),0,(_xlfn.XLOOKUP(L$5,'QB_Funds Analysis raw'!$B$5:$AC$5, _xlfn.XLOOKUP($A28,'QB_Funds Analysis raw'!$A$6:$A$104,'QB_Funds Analysis raw'!$B$6:$AC$104))))</f>
        <v>0</v>
      </c>
      <c r="M28" s="142" cm="1">
        <f t="array" ref="M28">IF(ISERROR(_xlfn.XLOOKUP(M$5,'QB_Funds Analysis raw'!$B$5:$AC$5, _xlfn.XLOOKUP($A28,'QB_Funds Analysis raw'!$A$6:$A$104,'QB_Funds Analysis raw'!$B$6:$AC$104))),0,(_xlfn.XLOOKUP(M$5,'QB_Funds Analysis raw'!$B$5:$AC$5, _xlfn.XLOOKUP($A28,'QB_Funds Analysis raw'!$A$6:$A$104,'QB_Funds Analysis raw'!$B$6:$AC$104))))</f>
        <v>0</v>
      </c>
      <c r="N28" s="252" cm="1">
        <f t="array" ref="N28">IF(ISERROR(_xlfn.XLOOKUP(N$5,'QB_Funds Analysis raw'!$B$5:$AC$5, _xlfn.XLOOKUP($A28,'QB_Funds Analysis raw'!$A$6:$A$104,'QB_Funds Analysis raw'!$B$6:$AC$104))),0,(_xlfn.XLOOKUP(N$5,'QB_Funds Analysis raw'!$B$5:$AC$5, _xlfn.XLOOKUP($A28,'QB_Funds Analysis raw'!$A$6:$A$104,'QB_Funds Analysis raw'!$B$6:$AC$104))))</f>
        <v>0</v>
      </c>
      <c r="O28" s="252" cm="1">
        <f t="array" ref="O28">IF(ISERROR(_xlfn.XLOOKUP(O$5,'QB_Funds Analysis raw'!$B$5:$AC$5, _xlfn.XLOOKUP($A28,'QB_Funds Analysis raw'!$A$6:$A$104,'QB_Funds Analysis raw'!$B$6:$AC$104))),0,(_xlfn.XLOOKUP(O$5,'QB_Funds Analysis raw'!$B$5:$AC$5, _xlfn.XLOOKUP($A28,'QB_Funds Analysis raw'!$A$6:$A$104,'QB_Funds Analysis raw'!$B$6:$AC$104))))</f>
        <v>0</v>
      </c>
      <c r="P28" s="142" cm="1">
        <f t="array" ref="P28">IF(ISERROR(_xlfn.XLOOKUP(P$5,'QB_Funds Analysis raw'!$B$5:$AC$5, _xlfn.XLOOKUP($A28,'QB_Funds Analysis raw'!$A$6:$A$104,'QB_Funds Analysis raw'!$B$6:$AC$104))),0,(_xlfn.XLOOKUP(P$5,'QB_Funds Analysis raw'!$B$5:$AC$5, _xlfn.XLOOKUP($A28,'QB_Funds Analysis raw'!$A$6:$A$104,'QB_Funds Analysis raw'!$B$6:$AC$104))))</f>
        <v>0</v>
      </c>
      <c r="Q28" s="247" cm="1">
        <f t="array" ref="Q28">IF(ISERROR(_xlfn.XLOOKUP(Q$5,'QB_Funds Analysis raw'!$B$5:$AC$5, _xlfn.XLOOKUP($A28,'QB_Funds Analysis raw'!$A$6:$A$104,'QB_Funds Analysis raw'!$B$6:$AC$104))),0,(_xlfn.XLOOKUP(Q$5,'QB_Funds Analysis raw'!$B$5:$AC$5, _xlfn.XLOOKUP($A28,'QB_Funds Analysis raw'!$A$6:$A$104,'QB_Funds Analysis raw'!$B$6:$AC$104))))</f>
        <v>0</v>
      </c>
      <c r="R28" s="142" cm="1">
        <f t="array" ref="R28">IF(ISERROR(_xlfn.XLOOKUP(R$5,'QB_Funds Analysis raw'!$B$5:$AC$5, _xlfn.XLOOKUP($A28,'QB_Funds Analysis raw'!$A$6:$A$104,'QB_Funds Analysis raw'!$B$6:$AC$104))),0,(_xlfn.XLOOKUP(R$5,'QB_Funds Analysis raw'!$B$5:$AC$5, _xlfn.XLOOKUP($A28,'QB_Funds Analysis raw'!$A$6:$A$104,'QB_Funds Analysis raw'!$B$6:$AC$104))))</f>
        <v>0</v>
      </c>
      <c r="S28" s="142" cm="1">
        <f t="array" ref="S28">IF(ISERROR(_xlfn.XLOOKUP(S$5,'QB_Funds Analysis raw'!$B$5:$AC$5, _xlfn.XLOOKUP($A28,'QB_Funds Analysis raw'!$A$6:$A$104,'QB_Funds Analysis raw'!$B$6:$AC$104))),0,(_xlfn.XLOOKUP(S$5,'QB_Funds Analysis raw'!$B$5:$AC$5, _xlfn.XLOOKUP($A28,'QB_Funds Analysis raw'!$A$6:$A$104,'QB_Funds Analysis raw'!$B$6:$AC$104))))</f>
        <v>0</v>
      </c>
      <c r="T28" s="142" cm="1">
        <f t="array" ref="T28">IF(ISERROR(_xlfn.XLOOKUP(T$5,'QB_Funds Analysis raw'!$B$5:$AC$5, _xlfn.XLOOKUP($A28,'QB_Funds Analysis raw'!$A$6:$A$104,'QB_Funds Analysis raw'!$B$6:$AC$104))),0,(_xlfn.XLOOKUP(T$5,'QB_Funds Analysis raw'!$B$5:$AC$5, _xlfn.XLOOKUP($A28,'QB_Funds Analysis raw'!$A$6:$A$104,'QB_Funds Analysis raw'!$B$6:$AC$104))))</f>
        <v>0</v>
      </c>
      <c r="U28" s="142" cm="1">
        <f t="array" ref="U28">IF(ISERROR(_xlfn.XLOOKUP(U$5,'QB_Funds Analysis raw'!$B$5:$AC$5, _xlfn.XLOOKUP($A28,'QB_Funds Analysis raw'!$A$6:$A$104,'QB_Funds Analysis raw'!$B$6:$AC$104))),0,(_xlfn.XLOOKUP(U$5,'QB_Funds Analysis raw'!$B$5:$AC$5, _xlfn.XLOOKUP($A28,'QB_Funds Analysis raw'!$A$6:$A$104,'QB_Funds Analysis raw'!$B$6:$AC$104))))</f>
        <v>0</v>
      </c>
      <c r="V28" s="142" cm="1">
        <f t="array" ref="V28">IF(ISERROR(_xlfn.XLOOKUP(V$5,'QB_Funds Analysis raw'!$B$5:$AC$5, _xlfn.XLOOKUP($A28,'QB_Funds Analysis raw'!$A$6:$A$104,'QB_Funds Analysis raw'!$B$6:$AC$104))),0,(_xlfn.XLOOKUP(V$5,'QB_Funds Analysis raw'!$B$5:$AC$5, _xlfn.XLOOKUP($A28,'QB_Funds Analysis raw'!$A$6:$A$104,'QB_Funds Analysis raw'!$B$6:$AC$104))))</f>
        <v>0</v>
      </c>
      <c r="W28" s="142" cm="1">
        <f t="array" ref="W28">IF(ISERROR(_xlfn.XLOOKUP(W$5,'QB_Funds Analysis raw'!$B$5:$AC$5, _xlfn.XLOOKUP($A28,'QB_Funds Analysis raw'!$A$6:$A$104,'QB_Funds Analysis raw'!$B$6:$AC$104))),0,(_xlfn.XLOOKUP(W$5,'QB_Funds Analysis raw'!$B$5:$AC$5, _xlfn.XLOOKUP($A28,'QB_Funds Analysis raw'!$A$6:$A$104,'QB_Funds Analysis raw'!$B$6:$AC$104))))</f>
        <v>0</v>
      </c>
      <c r="X28" s="142" cm="1">
        <f t="array" ref="X28">IF(ISERROR(_xlfn.XLOOKUP(X$5,'QB_Funds Analysis raw'!$B$5:$AC$5, _xlfn.XLOOKUP($A28,'QB_Funds Analysis raw'!$A$6:$A$104,'QB_Funds Analysis raw'!$B$6:$AC$104))),0,(_xlfn.XLOOKUP(X$5,'QB_Funds Analysis raw'!$B$5:$AC$5, _xlfn.XLOOKUP($A28,'QB_Funds Analysis raw'!$A$6:$A$104,'QB_Funds Analysis raw'!$B$6:$AC$104))))</f>
        <v>0</v>
      </c>
      <c r="Y28" s="142" cm="1">
        <f t="array" ref="Y28">IF(ISERROR(_xlfn.XLOOKUP(Y$5,'QB_Funds Analysis raw'!$B$5:$AC$5, _xlfn.XLOOKUP($A28,'QB_Funds Analysis raw'!$A$6:$A$104,'QB_Funds Analysis raw'!$B$6:$AC$104))),0,(_xlfn.XLOOKUP(Y$5,'QB_Funds Analysis raw'!$B$5:$AC$5, _xlfn.XLOOKUP($A28,'QB_Funds Analysis raw'!$A$6:$A$104,'QB_Funds Analysis raw'!$B$6:$AC$104))))</f>
        <v>0</v>
      </c>
      <c r="Z28" s="142" cm="1">
        <f t="array" ref="Z28">IF(ISERROR(_xlfn.XLOOKUP(Z$5,'QB_Funds Analysis raw'!$B$5:$AC$5, _xlfn.XLOOKUP($A28,'QB_Funds Analysis raw'!$A$6:$A$104,'QB_Funds Analysis raw'!$B$6:$AC$104))),0,(_xlfn.XLOOKUP(Z$5,'QB_Funds Analysis raw'!$B$5:$AC$5, _xlfn.XLOOKUP($A28,'QB_Funds Analysis raw'!$A$6:$A$104,'QB_Funds Analysis raw'!$B$6:$AC$104))))</f>
        <v>0</v>
      </c>
      <c r="AA28" s="142" cm="1">
        <f t="array" ref="AA28">IF(ISERROR(_xlfn.XLOOKUP(AA$5,'QB_Funds Analysis raw'!$B$5:$AC$5, _xlfn.XLOOKUP($A28,'QB_Funds Analysis raw'!$A$6:$A$104,'QB_Funds Analysis raw'!$B$6:$AC$104))),0,(_xlfn.XLOOKUP(AA$5,'QB_Funds Analysis raw'!$B$5:$AC$5, _xlfn.XLOOKUP($A28,'QB_Funds Analysis raw'!$A$6:$A$104,'QB_Funds Analysis raw'!$B$6:$AC$104))))</f>
        <v>0</v>
      </c>
      <c r="AB28" s="142" cm="1">
        <f t="array" ref="AB28">IF(ISERROR(_xlfn.XLOOKUP(AB$5,'QB_Funds Analysis raw'!$B$5:$AC$5, _xlfn.XLOOKUP($A28,'QB_Funds Analysis raw'!$A$6:$A$104,'QB_Funds Analysis raw'!$B$6:$AC$104))),0,(_xlfn.XLOOKUP(AB$5,'QB_Funds Analysis raw'!$B$5:$AC$5, _xlfn.XLOOKUP($A28,'QB_Funds Analysis raw'!$A$6:$A$104,'QB_Funds Analysis raw'!$B$6:$AC$104))))</f>
        <v>1949.71</v>
      </c>
      <c r="AC28" s="142" cm="1">
        <f t="array" ref="AC28">IF(ISERROR(_xlfn.XLOOKUP(AC$5,'QB_Funds Analysis raw'!$B$5:$AC$5, _xlfn.XLOOKUP($A28,'QB_Funds Analysis raw'!$A$6:$A$104,'QB_Funds Analysis raw'!$B$6:$AC$104))),0,(_xlfn.XLOOKUP(AC$5,'QB_Funds Analysis raw'!$B$5:$AC$5, _xlfn.XLOOKUP($A28,'QB_Funds Analysis raw'!$A$6:$A$104,'QB_Funds Analysis raw'!$B$6:$AC$104))))</f>
        <v>1949.71</v>
      </c>
      <c r="AD28" s="167">
        <f t="shared" si="0"/>
        <v>1949.71</v>
      </c>
      <c r="AE28" s="167">
        <f t="shared" si="4"/>
        <v>0</v>
      </c>
    </row>
    <row r="29" spans="1:31" ht="20.25" customHeight="1" x14ac:dyDescent="0.25">
      <c r="A29" s="2" t="s">
        <v>36</v>
      </c>
      <c r="B29" s="142" cm="1">
        <f t="array" ref="B29">IF(ISERROR(_xlfn.XLOOKUP(B$5,'QB_Funds Analysis raw'!$B$5:$AC$5, _xlfn.XLOOKUP($A29,'QB_Funds Analysis raw'!$A$6:$A$104,'QB_Funds Analysis raw'!$B$6:$AC$104))),0,(_xlfn.XLOOKUP(B$5,'QB_Funds Analysis raw'!$B$5:$AC$5, _xlfn.XLOOKUP($A29,'QB_Funds Analysis raw'!$A$6:$A$104,'QB_Funds Analysis raw'!$B$6:$AC$104))))</f>
        <v>0</v>
      </c>
      <c r="C29" s="142" cm="1">
        <f t="array" ref="C29">IF(ISERROR(_xlfn.XLOOKUP(C$5,'QB_Funds Analysis raw'!$B$5:$AC$5, _xlfn.XLOOKUP($A29,'QB_Funds Analysis raw'!$A$6:$A$104,'QB_Funds Analysis raw'!$B$6:$AC$104))),0,(_xlfn.XLOOKUP(C$5,'QB_Funds Analysis raw'!$B$5:$AC$5, _xlfn.XLOOKUP($A29,'QB_Funds Analysis raw'!$A$6:$A$104,'QB_Funds Analysis raw'!$B$6:$AC$104))))</f>
        <v>0</v>
      </c>
      <c r="D29" s="252" cm="1">
        <f t="array" ref="D29">IF(ISERROR(_xlfn.XLOOKUP(D$5,'QB_Funds Analysis raw'!$B$5:$AC$5, _xlfn.XLOOKUP($A29,'QB_Funds Analysis raw'!$A$6:$A$104,'QB_Funds Analysis raw'!$B$6:$AC$104))),0,(_xlfn.XLOOKUP(D$5,'QB_Funds Analysis raw'!$B$5:$AC$5, _xlfn.XLOOKUP($A29,'QB_Funds Analysis raw'!$A$6:$A$104,'QB_Funds Analysis raw'!$B$6:$AC$104))))</f>
        <v>0</v>
      </c>
      <c r="E29" s="142" cm="1">
        <f t="array" ref="E29">IF(ISERROR(_xlfn.XLOOKUP(E$5,'QB_Funds Analysis raw'!$B$5:$AC$5, _xlfn.XLOOKUP($A29,'QB_Funds Analysis raw'!$A$6:$A$104,'QB_Funds Analysis raw'!$B$6:$AC$104))),0,(_xlfn.XLOOKUP(E$5,'QB_Funds Analysis raw'!$B$5:$AC$5, _xlfn.XLOOKUP($A29,'QB_Funds Analysis raw'!$A$6:$A$104,'QB_Funds Analysis raw'!$B$6:$AC$104))))</f>
        <v>0</v>
      </c>
      <c r="F29" s="142" cm="1">
        <f t="array" ref="F29">IF(ISERROR(_xlfn.XLOOKUP(F$5,'QB_Funds Analysis raw'!$B$5:$AC$5, _xlfn.XLOOKUP($A29,'QB_Funds Analysis raw'!$A$6:$A$104,'QB_Funds Analysis raw'!$B$6:$AC$104))),0,(_xlfn.XLOOKUP(F$5,'QB_Funds Analysis raw'!$B$5:$AC$5, _xlfn.XLOOKUP($A29,'QB_Funds Analysis raw'!$A$6:$A$104,'QB_Funds Analysis raw'!$B$6:$AC$104))))</f>
        <v>0</v>
      </c>
      <c r="G29" s="142" cm="1">
        <f t="array" ref="G29">IF(ISERROR(_xlfn.XLOOKUP(G$5,'QB_Funds Analysis raw'!$B$5:$AC$5, _xlfn.XLOOKUP($A29,'QB_Funds Analysis raw'!$A$6:$A$104,'QB_Funds Analysis raw'!$B$6:$AC$104))),0,(_xlfn.XLOOKUP(G$5,'QB_Funds Analysis raw'!$B$5:$AC$5, _xlfn.XLOOKUP($A29,'QB_Funds Analysis raw'!$A$6:$A$104,'QB_Funds Analysis raw'!$B$6:$AC$104))))</f>
        <v>0</v>
      </c>
      <c r="H29" s="142" cm="1">
        <f t="array" ref="H29">IF(ISERROR(_xlfn.XLOOKUP(H$5,'QB_Funds Analysis raw'!$B$5:$AC$5, _xlfn.XLOOKUP($A29,'QB_Funds Analysis raw'!$A$6:$A$104,'QB_Funds Analysis raw'!$B$6:$AC$104))),0,(_xlfn.XLOOKUP(H$5,'QB_Funds Analysis raw'!$B$5:$AC$5, _xlfn.XLOOKUP($A29,'QB_Funds Analysis raw'!$A$6:$A$104,'QB_Funds Analysis raw'!$B$6:$AC$104))))</f>
        <v>0</v>
      </c>
      <c r="I29" s="142" cm="1">
        <f t="array" ref="I29">IF(ISERROR(_xlfn.XLOOKUP(I$5,'QB_Funds Analysis raw'!$B$5:$AC$5, _xlfn.XLOOKUP($A29,'QB_Funds Analysis raw'!$A$6:$A$104,'QB_Funds Analysis raw'!$B$6:$AC$104))),0,(_xlfn.XLOOKUP(I$5,'QB_Funds Analysis raw'!$B$5:$AC$5, _xlfn.XLOOKUP($A29,'QB_Funds Analysis raw'!$A$6:$A$104,'QB_Funds Analysis raw'!$B$6:$AC$104))))</f>
        <v>0</v>
      </c>
      <c r="J29" s="142" cm="1">
        <f t="array" ref="J29">IF(ISERROR(_xlfn.XLOOKUP(J$5,'QB_Funds Analysis raw'!$B$5:$AC$5, _xlfn.XLOOKUP($A29,'QB_Funds Analysis raw'!$A$6:$A$104,'QB_Funds Analysis raw'!$B$6:$AC$104))),0,(_xlfn.XLOOKUP(J$5,'QB_Funds Analysis raw'!$B$5:$AC$5, _xlfn.XLOOKUP($A29,'QB_Funds Analysis raw'!$A$6:$A$104,'QB_Funds Analysis raw'!$B$6:$AC$104))))</f>
        <v>0</v>
      </c>
      <c r="K29" s="252" cm="1">
        <f t="array" ref="K29">IF(ISERROR(_xlfn.XLOOKUP(K$5,'QB_Funds Analysis raw'!$B$5:$AC$5, _xlfn.XLOOKUP($A29,'QB_Funds Analysis raw'!$A$6:$A$104,'QB_Funds Analysis raw'!$B$6:$AC$104))),0,(_xlfn.XLOOKUP(K$5,'QB_Funds Analysis raw'!$B$5:$AC$5, _xlfn.XLOOKUP($A29,'QB_Funds Analysis raw'!$A$6:$A$104,'QB_Funds Analysis raw'!$B$6:$AC$104))))</f>
        <v>0</v>
      </c>
      <c r="L29" s="142" cm="1">
        <f t="array" ref="L29">IF(ISERROR(_xlfn.XLOOKUP(L$5,'QB_Funds Analysis raw'!$B$5:$AC$5, _xlfn.XLOOKUP($A29,'QB_Funds Analysis raw'!$A$6:$A$104,'QB_Funds Analysis raw'!$B$6:$AC$104))),0,(_xlfn.XLOOKUP(L$5,'QB_Funds Analysis raw'!$B$5:$AC$5, _xlfn.XLOOKUP($A29,'QB_Funds Analysis raw'!$A$6:$A$104,'QB_Funds Analysis raw'!$B$6:$AC$104))))</f>
        <v>0</v>
      </c>
      <c r="M29" s="142" cm="1">
        <f t="array" ref="M29">IF(ISERROR(_xlfn.XLOOKUP(M$5,'QB_Funds Analysis raw'!$B$5:$AC$5, _xlfn.XLOOKUP($A29,'QB_Funds Analysis raw'!$A$6:$A$104,'QB_Funds Analysis raw'!$B$6:$AC$104))),0,(_xlfn.XLOOKUP(M$5,'QB_Funds Analysis raw'!$B$5:$AC$5, _xlfn.XLOOKUP($A29,'QB_Funds Analysis raw'!$A$6:$A$104,'QB_Funds Analysis raw'!$B$6:$AC$104))))</f>
        <v>0</v>
      </c>
      <c r="N29" s="252" cm="1">
        <f t="array" ref="N29">IF(ISERROR(_xlfn.XLOOKUP(N$5,'QB_Funds Analysis raw'!$B$5:$AC$5, _xlfn.XLOOKUP($A29,'QB_Funds Analysis raw'!$A$6:$A$104,'QB_Funds Analysis raw'!$B$6:$AC$104))),0,(_xlfn.XLOOKUP(N$5,'QB_Funds Analysis raw'!$B$5:$AC$5, _xlfn.XLOOKUP($A29,'QB_Funds Analysis raw'!$A$6:$A$104,'QB_Funds Analysis raw'!$B$6:$AC$104))))</f>
        <v>0</v>
      </c>
      <c r="O29" s="252" cm="1">
        <f t="array" ref="O29">IF(ISERROR(_xlfn.XLOOKUP(O$5,'QB_Funds Analysis raw'!$B$5:$AC$5, _xlfn.XLOOKUP($A29,'QB_Funds Analysis raw'!$A$6:$A$104,'QB_Funds Analysis raw'!$B$6:$AC$104))),0,(_xlfn.XLOOKUP(O$5,'QB_Funds Analysis raw'!$B$5:$AC$5, _xlfn.XLOOKUP($A29,'QB_Funds Analysis raw'!$A$6:$A$104,'QB_Funds Analysis raw'!$B$6:$AC$104))))</f>
        <v>0</v>
      </c>
      <c r="P29" s="142" cm="1">
        <f t="array" ref="P29">IF(ISERROR(_xlfn.XLOOKUP(P$5,'QB_Funds Analysis raw'!$B$5:$AC$5, _xlfn.XLOOKUP($A29,'QB_Funds Analysis raw'!$A$6:$A$104,'QB_Funds Analysis raw'!$B$6:$AC$104))),0,(_xlfn.XLOOKUP(P$5,'QB_Funds Analysis raw'!$B$5:$AC$5, _xlfn.XLOOKUP($A29,'QB_Funds Analysis raw'!$A$6:$A$104,'QB_Funds Analysis raw'!$B$6:$AC$104))))</f>
        <v>0</v>
      </c>
      <c r="Q29" s="247" cm="1">
        <f t="array" ref="Q29">IF(ISERROR(_xlfn.XLOOKUP(Q$5,'QB_Funds Analysis raw'!$B$5:$AC$5, _xlfn.XLOOKUP($A29,'QB_Funds Analysis raw'!$A$6:$A$104,'QB_Funds Analysis raw'!$B$6:$AC$104))),0,(_xlfn.XLOOKUP(Q$5,'QB_Funds Analysis raw'!$B$5:$AC$5, _xlfn.XLOOKUP($A29,'QB_Funds Analysis raw'!$A$6:$A$104,'QB_Funds Analysis raw'!$B$6:$AC$104))))</f>
        <v>0</v>
      </c>
      <c r="R29" s="142" cm="1">
        <f t="array" ref="R29">IF(ISERROR(_xlfn.XLOOKUP(R$5,'QB_Funds Analysis raw'!$B$5:$AC$5, _xlfn.XLOOKUP($A29,'QB_Funds Analysis raw'!$A$6:$A$104,'QB_Funds Analysis raw'!$B$6:$AC$104))),0,(_xlfn.XLOOKUP(R$5,'QB_Funds Analysis raw'!$B$5:$AC$5, _xlfn.XLOOKUP($A29,'QB_Funds Analysis raw'!$A$6:$A$104,'QB_Funds Analysis raw'!$B$6:$AC$104))))</f>
        <v>0</v>
      </c>
      <c r="S29" s="142" cm="1">
        <f t="array" ref="S29">IF(ISERROR(_xlfn.XLOOKUP(S$5,'QB_Funds Analysis raw'!$B$5:$AC$5, _xlfn.XLOOKUP($A29,'QB_Funds Analysis raw'!$A$6:$A$104,'QB_Funds Analysis raw'!$B$6:$AC$104))),0,(_xlfn.XLOOKUP(S$5,'QB_Funds Analysis raw'!$B$5:$AC$5, _xlfn.XLOOKUP($A29,'QB_Funds Analysis raw'!$A$6:$A$104,'QB_Funds Analysis raw'!$B$6:$AC$104))))</f>
        <v>0</v>
      </c>
      <c r="T29" s="142" cm="1">
        <f t="array" ref="T29">IF(ISERROR(_xlfn.XLOOKUP(T$5,'QB_Funds Analysis raw'!$B$5:$AC$5, _xlfn.XLOOKUP($A29,'QB_Funds Analysis raw'!$A$6:$A$104,'QB_Funds Analysis raw'!$B$6:$AC$104))),0,(_xlfn.XLOOKUP(T$5,'QB_Funds Analysis raw'!$B$5:$AC$5, _xlfn.XLOOKUP($A29,'QB_Funds Analysis raw'!$A$6:$A$104,'QB_Funds Analysis raw'!$B$6:$AC$104))))</f>
        <v>0</v>
      </c>
      <c r="U29" s="142" cm="1">
        <f t="array" ref="U29">IF(ISERROR(_xlfn.XLOOKUP(U$5,'QB_Funds Analysis raw'!$B$5:$AC$5, _xlfn.XLOOKUP($A29,'QB_Funds Analysis raw'!$A$6:$A$104,'QB_Funds Analysis raw'!$B$6:$AC$104))),0,(_xlfn.XLOOKUP(U$5,'QB_Funds Analysis raw'!$B$5:$AC$5, _xlfn.XLOOKUP($A29,'QB_Funds Analysis raw'!$A$6:$A$104,'QB_Funds Analysis raw'!$B$6:$AC$104))))</f>
        <v>0</v>
      </c>
      <c r="V29" s="142" cm="1">
        <f t="array" ref="V29">IF(ISERROR(_xlfn.XLOOKUP(V$5,'QB_Funds Analysis raw'!$B$5:$AC$5, _xlfn.XLOOKUP($A29,'QB_Funds Analysis raw'!$A$6:$A$104,'QB_Funds Analysis raw'!$B$6:$AC$104))),0,(_xlfn.XLOOKUP(V$5,'QB_Funds Analysis raw'!$B$5:$AC$5, _xlfn.XLOOKUP($A29,'QB_Funds Analysis raw'!$A$6:$A$104,'QB_Funds Analysis raw'!$B$6:$AC$104))))</f>
        <v>0</v>
      </c>
      <c r="W29" s="142" cm="1">
        <f t="array" ref="W29">IF(ISERROR(_xlfn.XLOOKUP(W$5,'QB_Funds Analysis raw'!$B$5:$AC$5, _xlfn.XLOOKUP($A29,'QB_Funds Analysis raw'!$A$6:$A$104,'QB_Funds Analysis raw'!$B$6:$AC$104))),0,(_xlfn.XLOOKUP(W$5,'QB_Funds Analysis raw'!$B$5:$AC$5, _xlfn.XLOOKUP($A29,'QB_Funds Analysis raw'!$A$6:$A$104,'QB_Funds Analysis raw'!$B$6:$AC$104))))</f>
        <v>0</v>
      </c>
      <c r="X29" s="142" cm="1">
        <f t="array" ref="X29">IF(ISERROR(_xlfn.XLOOKUP(X$5,'QB_Funds Analysis raw'!$B$5:$AC$5, _xlfn.XLOOKUP($A29,'QB_Funds Analysis raw'!$A$6:$A$104,'QB_Funds Analysis raw'!$B$6:$AC$104))),0,(_xlfn.XLOOKUP(X$5,'QB_Funds Analysis raw'!$B$5:$AC$5, _xlfn.XLOOKUP($A29,'QB_Funds Analysis raw'!$A$6:$A$104,'QB_Funds Analysis raw'!$B$6:$AC$104))))</f>
        <v>0</v>
      </c>
      <c r="Y29" s="142" cm="1">
        <f t="array" ref="Y29">IF(ISERROR(_xlfn.XLOOKUP(Y$5,'QB_Funds Analysis raw'!$B$5:$AC$5, _xlfn.XLOOKUP($A29,'QB_Funds Analysis raw'!$A$6:$A$104,'QB_Funds Analysis raw'!$B$6:$AC$104))),0,(_xlfn.XLOOKUP(Y$5,'QB_Funds Analysis raw'!$B$5:$AC$5, _xlfn.XLOOKUP($A29,'QB_Funds Analysis raw'!$A$6:$A$104,'QB_Funds Analysis raw'!$B$6:$AC$104))))</f>
        <v>0</v>
      </c>
      <c r="Z29" s="142" cm="1">
        <f t="array" ref="Z29">IF(ISERROR(_xlfn.XLOOKUP(Z$5,'QB_Funds Analysis raw'!$B$5:$AC$5, _xlfn.XLOOKUP($A29,'QB_Funds Analysis raw'!$A$6:$A$104,'QB_Funds Analysis raw'!$B$6:$AC$104))),0,(_xlfn.XLOOKUP(Z$5,'QB_Funds Analysis raw'!$B$5:$AC$5, _xlfn.XLOOKUP($A29,'QB_Funds Analysis raw'!$A$6:$A$104,'QB_Funds Analysis raw'!$B$6:$AC$104))))</f>
        <v>0</v>
      </c>
      <c r="AA29" s="142" cm="1">
        <f t="array" ref="AA29">IF(ISERROR(_xlfn.XLOOKUP(AA$5,'QB_Funds Analysis raw'!$B$5:$AC$5, _xlfn.XLOOKUP($A29,'QB_Funds Analysis raw'!$A$6:$A$104,'QB_Funds Analysis raw'!$B$6:$AC$104))),0,(_xlfn.XLOOKUP(AA$5,'QB_Funds Analysis raw'!$B$5:$AC$5, _xlfn.XLOOKUP($A29,'QB_Funds Analysis raw'!$A$6:$A$104,'QB_Funds Analysis raw'!$B$6:$AC$104))))</f>
        <v>0</v>
      </c>
      <c r="AB29" s="142" cm="1">
        <f t="array" ref="AB29">IF(ISERROR(_xlfn.XLOOKUP(AB$5,'QB_Funds Analysis raw'!$B$5:$AC$5, _xlfn.XLOOKUP($A29,'QB_Funds Analysis raw'!$A$6:$A$104,'QB_Funds Analysis raw'!$B$6:$AC$104))),0,(_xlfn.XLOOKUP(AB$5,'QB_Funds Analysis raw'!$B$5:$AC$5, _xlfn.XLOOKUP($A29,'QB_Funds Analysis raw'!$A$6:$A$104,'QB_Funds Analysis raw'!$B$6:$AC$104))))</f>
        <v>0</v>
      </c>
      <c r="AC29" s="142" cm="1">
        <f t="array" ref="AC29">IF(ISERROR(_xlfn.XLOOKUP(AC$5,'QB_Funds Analysis raw'!$B$5:$AC$5, _xlfn.XLOOKUP($A29,'QB_Funds Analysis raw'!$A$6:$A$104,'QB_Funds Analysis raw'!$B$6:$AC$104))),0,(_xlfn.XLOOKUP(AC$5,'QB_Funds Analysis raw'!$B$5:$AC$5, _xlfn.XLOOKUP($A29,'QB_Funds Analysis raw'!$A$6:$A$104,'QB_Funds Analysis raw'!$B$6:$AC$104))))</f>
        <v>0</v>
      </c>
      <c r="AD29" s="167">
        <f t="shared" si="0"/>
        <v>0</v>
      </c>
      <c r="AE29" s="167">
        <f t="shared" si="4"/>
        <v>0</v>
      </c>
    </row>
    <row r="30" spans="1:31" ht="20.25" customHeight="1" x14ac:dyDescent="0.25">
      <c r="A30" s="136" t="s">
        <v>37</v>
      </c>
      <c r="B30" s="144">
        <f t="shared" ref="B30:AC30" si="10">(((((((B10))+(B19))+(B25))+(B26))+(B27))+(B28))+(B29)+B11</f>
        <v>0</v>
      </c>
      <c r="C30" s="144">
        <f t="shared" si="10"/>
        <v>0</v>
      </c>
      <c r="D30" s="255">
        <f t="shared" si="10"/>
        <v>0</v>
      </c>
      <c r="E30" s="144">
        <f t="shared" si="10"/>
        <v>0</v>
      </c>
      <c r="F30" s="144">
        <f t="shared" si="10"/>
        <v>3566.81</v>
      </c>
      <c r="G30" s="144">
        <f t="shared" si="10"/>
        <v>0</v>
      </c>
      <c r="H30" s="144">
        <f t="shared" si="10"/>
        <v>654.45000000000005</v>
      </c>
      <c r="I30" s="144">
        <f t="shared" si="10"/>
        <v>0</v>
      </c>
      <c r="J30" s="144">
        <f t="shared" si="10"/>
        <v>3986</v>
      </c>
      <c r="K30" s="255">
        <f t="shared" si="10"/>
        <v>2112.8000000000002</v>
      </c>
      <c r="L30" s="144">
        <f t="shared" si="10"/>
        <v>8375.84</v>
      </c>
      <c r="M30" s="144">
        <f t="shared" si="10"/>
        <v>0</v>
      </c>
      <c r="N30" s="255">
        <f t="shared" si="10"/>
        <v>281.89999999999998</v>
      </c>
      <c r="O30" s="255">
        <f t="shared" si="10"/>
        <v>2836.89</v>
      </c>
      <c r="P30" s="144">
        <f t="shared" si="10"/>
        <v>0</v>
      </c>
      <c r="Q30" s="244">
        <f t="shared" si="10"/>
        <v>19215.37</v>
      </c>
      <c r="R30" s="144">
        <f t="shared" si="10"/>
        <v>0</v>
      </c>
      <c r="S30" s="144">
        <f t="shared" si="10"/>
        <v>0</v>
      </c>
      <c r="T30" s="144">
        <f t="shared" si="10"/>
        <v>0</v>
      </c>
      <c r="U30" s="144">
        <f t="shared" si="10"/>
        <v>0</v>
      </c>
      <c r="V30" s="144">
        <f t="shared" si="10"/>
        <v>0</v>
      </c>
      <c r="W30" s="144">
        <f t="shared" si="10"/>
        <v>8375.84</v>
      </c>
      <c r="X30" s="144">
        <f t="shared" si="10"/>
        <v>0</v>
      </c>
      <c r="Y30" s="144">
        <f t="shared" si="10"/>
        <v>1168.9000000000001</v>
      </c>
      <c r="Z30" s="144">
        <f t="shared" si="10"/>
        <v>0</v>
      </c>
      <c r="AA30" s="144">
        <f t="shared" si="10"/>
        <v>0</v>
      </c>
      <c r="AB30" s="144">
        <f t="shared" si="10"/>
        <v>93612.14</v>
      </c>
      <c r="AC30" s="144">
        <f t="shared" si="10"/>
        <v>112827.51000000001</v>
      </c>
      <c r="AD30" s="167">
        <f t="shared" si="0"/>
        <v>112827.51</v>
      </c>
      <c r="AE30" s="167">
        <f t="shared" si="4"/>
        <v>0</v>
      </c>
    </row>
    <row r="31" spans="1:31" ht="20.25" customHeight="1" x14ac:dyDescent="0.25">
      <c r="A31" s="139" t="s">
        <v>38</v>
      </c>
      <c r="B31" s="152">
        <f t="shared" ref="B31" si="11">(B30)-(0)</f>
        <v>0</v>
      </c>
      <c r="C31" s="152">
        <f t="shared" ref="C31:AC31" si="12">(C30)-(0)</f>
        <v>0</v>
      </c>
      <c r="D31" s="253">
        <f t="shared" si="12"/>
        <v>0</v>
      </c>
      <c r="E31" s="152">
        <f t="shared" si="12"/>
        <v>0</v>
      </c>
      <c r="F31" s="152">
        <f t="shared" si="12"/>
        <v>3566.81</v>
      </c>
      <c r="G31" s="152">
        <f t="shared" si="12"/>
        <v>0</v>
      </c>
      <c r="H31" s="152">
        <f t="shared" si="12"/>
        <v>654.45000000000005</v>
      </c>
      <c r="I31" s="152">
        <f t="shared" si="12"/>
        <v>0</v>
      </c>
      <c r="J31" s="152">
        <f t="shared" si="12"/>
        <v>3986</v>
      </c>
      <c r="K31" s="253">
        <f t="shared" si="12"/>
        <v>2112.8000000000002</v>
      </c>
      <c r="L31" s="152">
        <f t="shared" si="12"/>
        <v>8375.84</v>
      </c>
      <c r="M31" s="152">
        <f t="shared" si="12"/>
        <v>0</v>
      </c>
      <c r="N31" s="253">
        <f t="shared" si="12"/>
        <v>281.89999999999998</v>
      </c>
      <c r="O31" s="253">
        <f t="shared" si="12"/>
        <v>2836.89</v>
      </c>
      <c r="P31" s="152">
        <f t="shared" si="12"/>
        <v>0</v>
      </c>
      <c r="Q31" s="244">
        <f t="shared" si="12"/>
        <v>19215.37</v>
      </c>
      <c r="R31" s="152">
        <f t="shared" si="12"/>
        <v>0</v>
      </c>
      <c r="S31" s="152">
        <f t="shared" si="12"/>
        <v>0</v>
      </c>
      <c r="T31" s="152">
        <f t="shared" si="12"/>
        <v>0</v>
      </c>
      <c r="U31" s="152">
        <f t="shared" si="12"/>
        <v>0</v>
      </c>
      <c r="V31" s="152">
        <f t="shared" si="12"/>
        <v>0</v>
      </c>
      <c r="W31" s="152">
        <f t="shared" si="12"/>
        <v>8375.84</v>
      </c>
      <c r="X31" s="152">
        <f t="shared" si="12"/>
        <v>0</v>
      </c>
      <c r="Y31" s="152">
        <f t="shared" si="12"/>
        <v>1168.9000000000001</v>
      </c>
      <c r="Z31" s="152">
        <f t="shared" si="12"/>
        <v>0</v>
      </c>
      <c r="AA31" s="152">
        <f t="shared" si="12"/>
        <v>0</v>
      </c>
      <c r="AB31" s="152">
        <f t="shared" si="12"/>
        <v>93612.14</v>
      </c>
      <c r="AC31" s="152">
        <f t="shared" si="12"/>
        <v>112827.51000000001</v>
      </c>
      <c r="AD31" s="167">
        <f t="shared" si="0"/>
        <v>112827.51</v>
      </c>
      <c r="AE31" s="167">
        <f t="shared" si="4"/>
        <v>0</v>
      </c>
    </row>
    <row r="32" spans="1:31" ht="20.25" customHeight="1" x14ac:dyDescent="0.25">
      <c r="A32" s="137" t="s">
        <v>39</v>
      </c>
      <c r="B32" s="150"/>
      <c r="C32" s="150"/>
      <c r="D32" s="252"/>
      <c r="E32" s="150"/>
      <c r="F32" s="150"/>
      <c r="G32" s="150"/>
      <c r="H32" s="150"/>
      <c r="I32" s="150"/>
      <c r="J32" s="150"/>
      <c r="K32" s="252"/>
      <c r="L32" s="150"/>
      <c r="M32" s="150"/>
      <c r="N32" s="252"/>
      <c r="O32" s="252"/>
      <c r="P32" s="150"/>
      <c r="Q32" s="247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67">
        <f t="shared" si="0"/>
        <v>0</v>
      </c>
      <c r="AE32" s="167">
        <f t="shared" si="4"/>
        <v>0</v>
      </c>
    </row>
    <row r="33" spans="1:31" ht="20.25" customHeight="1" x14ac:dyDescent="0.25">
      <c r="A33" s="2" t="s">
        <v>40</v>
      </c>
      <c r="B33" s="142" cm="1">
        <f t="array" ref="B33">IF(ISERROR(_xlfn.XLOOKUP(B$5,'QB_Funds Analysis raw'!$B$5:$AC$5, _xlfn.XLOOKUP($A33,'QB_Funds Analysis raw'!$A$6:$A$104,'QB_Funds Analysis raw'!$B$6:$AC$104))),0,(_xlfn.XLOOKUP(B$5,'QB_Funds Analysis raw'!$B$5:$AC$5, _xlfn.XLOOKUP($A33,'QB_Funds Analysis raw'!$A$6:$A$104,'QB_Funds Analysis raw'!$B$6:$AC$104))))</f>
        <v>0</v>
      </c>
      <c r="C33" s="142" cm="1">
        <f t="array" ref="C33">IF(ISERROR(_xlfn.XLOOKUP(C$5,'QB_Funds Analysis raw'!$B$5:$AC$5, _xlfn.XLOOKUP($A33,'QB_Funds Analysis raw'!$A$6:$A$104,'QB_Funds Analysis raw'!$B$6:$AC$104))),0,(_xlfn.XLOOKUP(C$5,'QB_Funds Analysis raw'!$B$5:$AC$5, _xlfn.XLOOKUP($A33,'QB_Funds Analysis raw'!$A$6:$A$104,'QB_Funds Analysis raw'!$B$6:$AC$104))))</f>
        <v>0</v>
      </c>
      <c r="D33" s="252" cm="1">
        <f t="array" ref="D33">IF(ISERROR(_xlfn.XLOOKUP(D$5,'QB_Funds Analysis raw'!$B$5:$AC$5, _xlfn.XLOOKUP($A33,'QB_Funds Analysis raw'!$A$6:$A$104,'QB_Funds Analysis raw'!$B$6:$AC$104))),0,(_xlfn.XLOOKUP(D$5,'QB_Funds Analysis raw'!$B$5:$AC$5, _xlfn.XLOOKUP($A33,'QB_Funds Analysis raw'!$A$6:$A$104,'QB_Funds Analysis raw'!$B$6:$AC$104))))</f>
        <v>0</v>
      </c>
      <c r="E33" s="142" cm="1">
        <f t="array" ref="E33">IF(ISERROR(_xlfn.XLOOKUP(E$5,'QB_Funds Analysis raw'!$B$5:$AC$5, _xlfn.XLOOKUP($A33,'QB_Funds Analysis raw'!$A$6:$A$104,'QB_Funds Analysis raw'!$B$6:$AC$104))),0,(_xlfn.XLOOKUP(E$5,'QB_Funds Analysis raw'!$B$5:$AC$5, _xlfn.XLOOKUP($A33,'QB_Funds Analysis raw'!$A$6:$A$104,'QB_Funds Analysis raw'!$B$6:$AC$104))))</f>
        <v>0</v>
      </c>
      <c r="F33" s="142" cm="1">
        <f t="array" ref="F33">IF(ISERROR(_xlfn.XLOOKUP(F$5,'QB_Funds Analysis raw'!$B$5:$AC$5, _xlfn.XLOOKUP($A33,'QB_Funds Analysis raw'!$A$6:$A$104,'QB_Funds Analysis raw'!$B$6:$AC$104))),0,(_xlfn.XLOOKUP(F$5,'QB_Funds Analysis raw'!$B$5:$AC$5, _xlfn.XLOOKUP($A33,'QB_Funds Analysis raw'!$A$6:$A$104,'QB_Funds Analysis raw'!$B$6:$AC$104))))</f>
        <v>0</v>
      </c>
      <c r="G33" s="142" cm="1">
        <f t="array" ref="G33">IF(ISERROR(_xlfn.XLOOKUP(G$5,'QB_Funds Analysis raw'!$B$5:$AC$5, _xlfn.XLOOKUP($A33,'QB_Funds Analysis raw'!$A$6:$A$104,'QB_Funds Analysis raw'!$B$6:$AC$104))),0,(_xlfn.XLOOKUP(G$5,'QB_Funds Analysis raw'!$B$5:$AC$5, _xlfn.XLOOKUP($A33,'QB_Funds Analysis raw'!$A$6:$A$104,'QB_Funds Analysis raw'!$B$6:$AC$104))))</f>
        <v>0</v>
      </c>
      <c r="H33" s="142" cm="1">
        <f t="array" ref="H33">IF(ISERROR(_xlfn.XLOOKUP(H$5,'QB_Funds Analysis raw'!$B$5:$AC$5, _xlfn.XLOOKUP($A33,'QB_Funds Analysis raw'!$A$6:$A$104,'QB_Funds Analysis raw'!$B$6:$AC$104))),0,(_xlfn.XLOOKUP(H$5,'QB_Funds Analysis raw'!$B$5:$AC$5, _xlfn.XLOOKUP($A33,'QB_Funds Analysis raw'!$A$6:$A$104,'QB_Funds Analysis raw'!$B$6:$AC$104))))</f>
        <v>0</v>
      </c>
      <c r="I33" s="142" cm="1">
        <f t="array" ref="I33">IF(ISERROR(_xlfn.XLOOKUP(I$5,'QB_Funds Analysis raw'!$B$5:$AC$5, _xlfn.XLOOKUP($A33,'QB_Funds Analysis raw'!$A$6:$A$104,'QB_Funds Analysis raw'!$B$6:$AC$104))),0,(_xlfn.XLOOKUP(I$5,'QB_Funds Analysis raw'!$B$5:$AC$5, _xlfn.XLOOKUP($A33,'QB_Funds Analysis raw'!$A$6:$A$104,'QB_Funds Analysis raw'!$B$6:$AC$104))))</f>
        <v>0</v>
      </c>
      <c r="J33" s="142" cm="1">
        <f t="array" ref="J33">IF(ISERROR(_xlfn.XLOOKUP(J$5,'QB_Funds Analysis raw'!$B$5:$AC$5, _xlfn.XLOOKUP($A33,'QB_Funds Analysis raw'!$A$6:$A$104,'QB_Funds Analysis raw'!$B$6:$AC$104))),0,(_xlfn.XLOOKUP(J$5,'QB_Funds Analysis raw'!$B$5:$AC$5, _xlfn.XLOOKUP($A33,'QB_Funds Analysis raw'!$A$6:$A$104,'QB_Funds Analysis raw'!$B$6:$AC$104))))</f>
        <v>0</v>
      </c>
      <c r="K33" s="252" cm="1">
        <f t="array" ref="K33">IF(ISERROR(_xlfn.XLOOKUP(K$5,'QB_Funds Analysis raw'!$B$5:$AC$5, _xlfn.XLOOKUP($A33,'QB_Funds Analysis raw'!$A$6:$A$104,'QB_Funds Analysis raw'!$B$6:$AC$104))),0,(_xlfn.XLOOKUP(K$5,'QB_Funds Analysis raw'!$B$5:$AC$5, _xlfn.XLOOKUP($A33,'QB_Funds Analysis raw'!$A$6:$A$104,'QB_Funds Analysis raw'!$B$6:$AC$104))))</f>
        <v>0</v>
      </c>
      <c r="L33" s="142" cm="1">
        <f t="array" ref="L33">IF(ISERROR(_xlfn.XLOOKUP(L$5,'QB_Funds Analysis raw'!$B$5:$AC$5, _xlfn.XLOOKUP($A33,'QB_Funds Analysis raw'!$A$6:$A$104,'QB_Funds Analysis raw'!$B$6:$AC$104))),0,(_xlfn.XLOOKUP(L$5,'QB_Funds Analysis raw'!$B$5:$AC$5, _xlfn.XLOOKUP($A33,'QB_Funds Analysis raw'!$A$6:$A$104,'QB_Funds Analysis raw'!$B$6:$AC$104))))</f>
        <v>0</v>
      </c>
      <c r="M33" s="142" cm="1">
        <f t="array" ref="M33">IF(ISERROR(_xlfn.XLOOKUP(M$5,'QB_Funds Analysis raw'!$B$5:$AC$5, _xlfn.XLOOKUP($A33,'QB_Funds Analysis raw'!$A$6:$A$104,'QB_Funds Analysis raw'!$B$6:$AC$104))),0,(_xlfn.XLOOKUP(M$5,'QB_Funds Analysis raw'!$B$5:$AC$5, _xlfn.XLOOKUP($A33,'QB_Funds Analysis raw'!$A$6:$A$104,'QB_Funds Analysis raw'!$B$6:$AC$104))))</f>
        <v>0</v>
      </c>
      <c r="N33" s="252" cm="1">
        <f t="array" ref="N33">IF(ISERROR(_xlfn.XLOOKUP(N$5,'QB_Funds Analysis raw'!$B$5:$AC$5, _xlfn.XLOOKUP($A33,'QB_Funds Analysis raw'!$A$6:$A$104,'QB_Funds Analysis raw'!$B$6:$AC$104))),0,(_xlfn.XLOOKUP(N$5,'QB_Funds Analysis raw'!$B$5:$AC$5, _xlfn.XLOOKUP($A33,'QB_Funds Analysis raw'!$A$6:$A$104,'QB_Funds Analysis raw'!$B$6:$AC$104))))</f>
        <v>0</v>
      </c>
      <c r="O33" s="252" cm="1">
        <f t="array" ref="O33">IF(ISERROR(_xlfn.XLOOKUP(O$5,'QB_Funds Analysis raw'!$B$5:$AC$5, _xlfn.XLOOKUP($A33,'QB_Funds Analysis raw'!$A$6:$A$104,'QB_Funds Analysis raw'!$B$6:$AC$104))),0,(_xlfn.XLOOKUP(O$5,'QB_Funds Analysis raw'!$B$5:$AC$5, _xlfn.XLOOKUP($A33,'QB_Funds Analysis raw'!$A$6:$A$104,'QB_Funds Analysis raw'!$B$6:$AC$104))))</f>
        <v>0</v>
      </c>
      <c r="P33" s="142" cm="1">
        <f t="array" ref="P33">IF(ISERROR(_xlfn.XLOOKUP(P$5,'QB_Funds Analysis raw'!$B$5:$AC$5, _xlfn.XLOOKUP($A33,'QB_Funds Analysis raw'!$A$6:$A$104,'QB_Funds Analysis raw'!$B$6:$AC$104))),0,(_xlfn.XLOOKUP(P$5,'QB_Funds Analysis raw'!$B$5:$AC$5, _xlfn.XLOOKUP($A33,'QB_Funds Analysis raw'!$A$6:$A$104,'QB_Funds Analysis raw'!$B$6:$AC$104))))</f>
        <v>0</v>
      </c>
      <c r="Q33" s="247" cm="1">
        <f t="array" ref="Q33">IF(ISERROR(_xlfn.XLOOKUP(Q$5,'QB_Funds Analysis raw'!$B$5:$AC$5, _xlfn.XLOOKUP($A33,'QB_Funds Analysis raw'!$A$6:$A$104,'QB_Funds Analysis raw'!$B$6:$AC$104))),0,(_xlfn.XLOOKUP(Q$5,'QB_Funds Analysis raw'!$B$5:$AC$5, _xlfn.XLOOKUP($A33,'QB_Funds Analysis raw'!$A$6:$A$104,'QB_Funds Analysis raw'!$B$6:$AC$104))))</f>
        <v>0</v>
      </c>
      <c r="R33" s="142" cm="1">
        <f t="array" ref="R33">IF(ISERROR(_xlfn.XLOOKUP(R$5,'QB_Funds Analysis raw'!$B$5:$AC$5, _xlfn.XLOOKUP($A33,'QB_Funds Analysis raw'!$A$6:$A$104,'QB_Funds Analysis raw'!$B$6:$AC$104))),0,(_xlfn.XLOOKUP(R$5,'QB_Funds Analysis raw'!$B$5:$AC$5, _xlfn.XLOOKUP($A33,'QB_Funds Analysis raw'!$A$6:$A$104,'QB_Funds Analysis raw'!$B$6:$AC$104))))</f>
        <v>0</v>
      </c>
      <c r="S33" s="142" cm="1">
        <f t="array" ref="S33">IF(ISERROR(_xlfn.XLOOKUP(S$5,'QB_Funds Analysis raw'!$B$5:$AC$5, _xlfn.XLOOKUP($A33,'QB_Funds Analysis raw'!$A$6:$A$104,'QB_Funds Analysis raw'!$B$6:$AC$104))),0,(_xlfn.XLOOKUP(S$5,'QB_Funds Analysis raw'!$B$5:$AC$5, _xlfn.XLOOKUP($A33,'QB_Funds Analysis raw'!$A$6:$A$104,'QB_Funds Analysis raw'!$B$6:$AC$104))))</f>
        <v>0</v>
      </c>
      <c r="T33" s="142" cm="1">
        <f t="array" ref="T33">IF(ISERROR(_xlfn.XLOOKUP(T$5,'QB_Funds Analysis raw'!$B$5:$AC$5, _xlfn.XLOOKUP($A33,'QB_Funds Analysis raw'!$A$6:$A$104,'QB_Funds Analysis raw'!$B$6:$AC$104))),0,(_xlfn.XLOOKUP(T$5,'QB_Funds Analysis raw'!$B$5:$AC$5, _xlfn.XLOOKUP($A33,'QB_Funds Analysis raw'!$A$6:$A$104,'QB_Funds Analysis raw'!$B$6:$AC$104))))</f>
        <v>0</v>
      </c>
      <c r="U33" s="142" cm="1">
        <f t="array" ref="U33">IF(ISERROR(_xlfn.XLOOKUP(U$5,'QB_Funds Analysis raw'!$B$5:$AC$5, _xlfn.XLOOKUP($A33,'QB_Funds Analysis raw'!$A$6:$A$104,'QB_Funds Analysis raw'!$B$6:$AC$104))),0,(_xlfn.XLOOKUP(U$5,'QB_Funds Analysis raw'!$B$5:$AC$5, _xlfn.XLOOKUP($A33,'QB_Funds Analysis raw'!$A$6:$A$104,'QB_Funds Analysis raw'!$B$6:$AC$104))))</f>
        <v>0</v>
      </c>
      <c r="V33" s="142" cm="1">
        <f t="array" ref="V33">IF(ISERROR(_xlfn.XLOOKUP(V$5,'QB_Funds Analysis raw'!$B$5:$AC$5, _xlfn.XLOOKUP($A33,'QB_Funds Analysis raw'!$A$6:$A$104,'QB_Funds Analysis raw'!$B$6:$AC$104))),0,(_xlfn.XLOOKUP(V$5,'QB_Funds Analysis raw'!$B$5:$AC$5, _xlfn.XLOOKUP($A33,'QB_Funds Analysis raw'!$A$6:$A$104,'QB_Funds Analysis raw'!$B$6:$AC$104))))</f>
        <v>0</v>
      </c>
      <c r="W33" s="142" cm="1">
        <f t="array" ref="W33">IF(ISERROR(_xlfn.XLOOKUP(W$5,'QB_Funds Analysis raw'!$B$5:$AC$5, _xlfn.XLOOKUP($A33,'QB_Funds Analysis raw'!$A$6:$A$104,'QB_Funds Analysis raw'!$B$6:$AC$104))),0,(_xlfn.XLOOKUP(W$5,'QB_Funds Analysis raw'!$B$5:$AC$5, _xlfn.XLOOKUP($A33,'QB_Funds Analysis raw'!$A$6:$A$104,'QB_Funds Analysis raw'!$B$6:$AC$104))))</f>
        <v>0</v>
      </c>
      <c r="X33" s="142" cm="1">
        <f t="array" ref="X33">IF(ISERROR(_xlfn.XLOOKUP(X$5,'QB_Funds Analysis raw'!$B$5:$AC$5, _xlfn.XLOOKUP($A33,'QB_Funds Analysis raw'!$A$6:$A$104,'QB_Funds Analysis raw'!$B$6:$AC$104))),0,(_xlfn.XLOOKUP(X$5,'QB_Funds Analysis raw'!$B$5:$AC$5, _xlfn.XLOOKUP($A33,'QB_Funds Analysis raw'!$A$6:$A$104,'QB_Funds Analysis raw'!$B$6:$AC$104))))</f>
        <v>0</v>
      </c>
      <c r="Y33" s="142" cm="1">
        <f t="array" ref="Y33">IF(ISERROR(_xlfn.XLOOKUP(Y$5,'QB_Funds Analysis raw'!$B$5:$AC$5, _xlfn.XLOOKUP($A33,'QB_Funds Analysis raw'!$A$6:$A$104,'QB_Funds Analysis raw'!$B$6:$AC$104))),0,(_xlfn.XLOOKUP(Y$5,'QB_Funds Analysis raw'!$B$5:$AC$5, _xlfn.XLOOKUP($A33,'QB_Funds Analysis raw'!$A$6:$A$104,'QB_Funds Analysis raw'!$B$6:$AC$104))))</f>
        <v>0</v>
      </c>
      <c r="Z33" s="142" cm="1">
        <f t="array" ref="Z33">IF(ISERROR(_xlfn.XLOOKUP(Z$5,'QB_Funds Analysis raw'!$B$5:$AC$5, _xlfn.XLOOKUP($A33,'QB_Funds Analysis raw'!$A$6:$A$104,'QB_Funds Analysis raw'!$B$6:$AC$104))),0,(_xlfn.XLOOKUP(Z$5,'QB_Funds Analysis raw'!$B$5:$AC$5, _xlfn.XLOOKUP($A33,'QB_Funds Analysis raw'!$A$6:$A$104,'QB_Funds Analysis raw'!$B$6:$AC$104))))</f>
        <v>0</v>
      </c>
      <c r="AA33" s="142" cm="1">
        <f t="array" ref="AA33">IF(ISERROR(_xlfn.XLOOKUP(AA$5,'QB_Funds Analysis raw'!$B$5:$AC$5, _xlfn.XLOOKUP($A33,'QB_Funds Analysis raw'!$A$6:$A$104,'QB_Funds Analysis raw'!$B$6:$AC$104))),0,(_xlfn.XLOOKUP(AA$5,'QB_Funds Analysis raw'!$B$5:$AC$5, _xlfn.XLOOKUP($A33,'QB_Funds Analysis raw'!$A$6:$A$104,'QB_Funds Analysis raw'!$B$6:$AC$104))))</f>
        <v>0</v>
      </c>
      <c r="AB33" s="142" cm="1">
        <f t="array" ref="AB33">IF(ISERROR(_xlfn.XLOOKUP(AB$5,'QB_Funds Analysis raw'!$B$5:$AC$5, _xlfn.XLOOKUP($A33,'QB_Funds Analysis raw'!$A$6:$A$104,'QB_Funds Analysis raw'!$B$6:$AC$104))),0,(_xlfn.XLOOKUP(AB$5,'QB_Funds Analysis raw'!$B$5:$AC$5, _xlfn.XLOOKUP($A33,'QB_Funds Analysis raw'!$A$6:$A$104,'QB_Funds Analysis raw'!$B$6:$AC$104))))</f>
        <v>0</v>
      </c>
      <c r="AC33" s="142" cm="1">
        <f t="array" ref="AC33">IF(ISERROR(_xlfn.XLOOKUP(AC$5,'QB_Funds Analysis raw'!$B$5:$AC$5, _xlfn.XLOOKUP($A33,'QB_Funds Analysis raw'!$A$6:$A$104,'QB_Funds Analysis raw'!$B$6:$AC$104))),0,(_xlfn.XLOOKUP(AC$5,'QB_Funds Analysis raw'!$B$5:$AC$5, _xlfn.XLOOKUP($A33,'QB_Funds Analysis raw'!$A$6:$A$104,'QB_Funds Analysis raw'!$B$6:$AC$104))))</f>
        <v>0</v>
      </c>
      <c r="AD33" s="167">
        <f t="shared" si="0"/>
        <v>0</v>
      </c>
      <c r="AE33" s="167">
        <f t="shared" si="4"/>
        <v>0</v>
      </c>
    </row>
    <row r="34" spans="1:31" ht="20.25" customHeight="1" x14ac:dyDescent="0.25">
      <c r="A34" s="2" t="s">
        <v>41</v>
      </c>
      <c r="B34" s="142" cm="1">
        <f t="array" ref="B34">IF(ISERROR(_xlfn.XLOOKUP(B$5,'QB_Funds Analysis raw'!$B$5:$AC$5, _xlfn.XLOOKUP($A34,'QB_Funds Analysis raw'!$A$6:$A$104,'QB_Funds Analysis raw'!$B$6:$AC$104))),0,(_xlfn.XLOOKUP(B$5,'QB_Funds Analysis raw'!$B$5:$AC$5, _xlfn.XLOOKUP($A34,'QB_Funds Analysis raw'!$A$6:$A$104,'QB_Funds Analysis raw'!$B$6:$AC$104))))</f>
        <v>0</v>
      </c>
      <c r="C34" s="142" cm="1">
        <f t="array" ref="C34">IF(ISERROR(_xlfn.XLOOKUP(C$5,'QB_Funds Analysis raw'!$B$5:$AC$5, _xlfn.XLOOKUP($A34,'QB_Funds Analysis raw'!$A$6:$A$104,'QB_Funds Analysis raw'!$B$6:$AC$104))),0,(_xlfn.XLOOKUP(C$5,'QB_Funds Analysis raw'!$B$5:$AC$5, _xlfn.XLOOKUP($A34,'QB_Funds Analysis raw'!$A$6:$A$104,'QB_Funds Analysis raw'!$B$6:$AC$104))))</f>
        <v>0</v>
      </c>
      <c r="D34" s="252" cm="1">
        <f t="array" ref="D34">IF(ISERROR(_xlfn.XLOOKUP(D$5,'QB_Funds Analysis raw'!$B$5:$AC$5, _xlfn.XLOOKUP($A34,'QB_Funds Analysis raw'!$A$6:$A$104,'QB_Funds Analysis raw'!$B$6:$AC$104))),0,(_xlfn.XLOOKUP(D$5,'QB_Funds Analysis raw'!$B$5:$AC$5, _xlfn.XLOOKUP($A34,'QB_Funds Analysis raw'!$A$6:$A$104,'QB_Funds Analysis raw'!$B$6:$AC$104))))</f>
        <v>0</v>
      </c>
      <c r="E34" s="142" cm="1">
        <f t="array" ref="E34">IF(ISERROR(_xlfn.XLOOKUP(E$5,'QB_Funds Analysis raw'!$B$5:$AC$5, _xlfn.XLOOKUP($A34,'QB_Funds Analysis raw'!$A$6:$A$104,'QB_Funds Analysis raw'!$B$6:$AC$104))),0,(_xlfn.XLOOKUP(E$5,'QB_Funds Analysis raw'!$B$5:$AC$5, _xlfn.XLOOKUP($A34,'QB_Funds Analysis raw'!$A$6:$A$104,'QB_Funds Analysis raw'!$B$6:$AC$104))))</f>
        <v>0</v>
      </c>
      <c r="F34" s="142" cm="1">
        <f t="array" ref="F34">IF(ISERROR(_xlfn.XLOOKUP(F$5,'QB_Funds Analysis raw'!$B$5:$AC$5, _xlfn.XLOOKUP($A34,'QB_Funds Analysis raw'!$A$6:$A$104,'QB_Funds Analysis raw'!$B$6:$AC$104))),0,(_xlfn.XLOOKUP(F$5,'QB_Funds Analysis raw'!$B$5:$AC$5, _xlfn.XLOOKUP($A34,'QB_Funds Analysis raw'!$A$6:$A$104,'QB_Funds Analysis raw'!$B$6:$AC$104))))</f>
        <v>0</v>
      </c>
      <c r="G34" s="142" cm="1">
        <f t="array" ref="G34">IF(ISERROR(_xlfn.XLOOKUP(G$5,'QB_Funds Analysis raw'!$B$5:$AC$5, _xlfn.XLOOKUP($A34,'QB_Funds Analysis raw'!$A$6:$A$104,'QB_Funds Analysis raw'!$B$6:$AC$104))),0,(_xlfn.XLOOKUP(G$5,'QB_Funds Analysis raw'!$B$5:$AC$5, _xlfn.XLOOKUP($A34,'QB_Funds Analysis raw'!$A$6:$A$104,'QB_Funds Analysis raw'!$B$6:$AC$104))))</f>
        <v>0</v>
      </c>
      <c r="H34" s="142" cm="1">
        <f t="array" ref="H34">IF(ISERROR(_xlfn.XLOOKUP(H$5,'QB_Funds Analysis raw'!$B$5:$AC$5, _xlfn.XLOOKUP($A34,'QB_Funds Analysis raw'!$A$6:$A$104,'QB_Funds Analysis raw'!$B$6:$AC$104))),0,(_xlfn.XLOOKUP(H$5,'QB_Funds Analysis raw'!$B$5:$AC$5, _xlfn.XLOOKUP($A34,'QB_Funds Analysis raw'!$A$6:$A$104,'QB_Funds Analysis raw'!$B$6:$AC$104))))</f>
        <v>0</v>
      </c>
      <c r="I34" s="142" cm="1">
        <f t="array" ref="I34">IF(ISERROR(_xlfn.XLOOKUP(I$5,'QB_Funds Analysis raw'!$B$5:$AC$5, _xlfn.XLOOKUP($A34,'QB_Funds Analysis raw'!$A$6:$A$104,'QB_Funds Analysis raw'!$B$6:$AC$104))),0,(_xlfn.XLOOKUP(I$5,'QB_Funds Analysis raw'!$B$5:$AC$5, _xlfn.XLOOKUP($A34,'QB_Funds Analysis raw'!$A$6:$A$104,'QB_Funds Analysis raw'!$B$6:$AC$104))))</f>
        <v>0</v>
      </c>
      <c r="J34" s="142" cm="1">
        <f t="array" ref="J34">IF(ISERROR(_xlfn.XLOOKUP(J$5,'QB_Funds Analysis raw'!$B$5:$AC$5, _xlfn.XLOOKUP($A34,'QB_Funds Analysis raw'!$A$6:$A$104,'QB_Funds Analysis raw'!$B$6:$AC$104))),0,(_xlfn.XLOOKUP(J$5,'QB_Funds Analysis raw'!$B$5:$AC$5, _xlfn.XLOOKUP($A34,'QB_Funds Analysis raw'!$A$6:$A$104,'QB_Funds Analysis raw'!$B$6:$AC$104))))</f>
        <v>0</v>
      </c>
      <c r="K34" s="252" cm="1">
        <f t="array" ref="K34">IF(ISERROR(_xlfn.XLOOKUP(K$5,'QB_Funds Analysis raw'!$B$5:$AC$5, _xlfn.XLOOKUP($A34,'QB_Funds Analysis raw'!$A$6:$A$104,'QB_Funds Analysis raw'!$B$6:$AC$104))),0,(_xlfn.XLOOKUP(K$5,'QB_Funds Analysis raw'!$B$5:$AC$5, _xlfn.XLOOKUP($A34,'QB_Funds Analysis raw'!$A$6:$A$104,'QB_Funds Analysis raw'!$B$6:$AC$104))))</f>
        <v>0</v>
      </c>
      <c r="L34" s="142" cm="1">
        <f t="array" ref="L34">IF(ISERROR(_xlfn.XLOOKUP(L$5,'QB_Funds Analysis raw'!$B$5:$AC$5, _xlfn.XLOOKUP($A34,'QB_Funds Analysis raw'!$A$6:$A$104,'QB_Funds Analysis raw'!$B$6:$AC$104))),0,(_xlfn.XLOOKUP(L$5,'QB_Funds Analysis raw'!$B$5:$AC$5, _xlfn.XLOOKUP($A34,'QB_Funds Analysis raw'!$A$6:$A$104,'QB_Funds Analysis raw'!$B$6:$AC$104))))</f>
        <v>0</v>
      </c>
      <c r="M34" s="142" cm="1">
        <f t="array" ref="M34">IF(ISERROR(_xlfn.XLOOKUP(M$5,'QB_Funds Analysis raw'!$B$5:$AC$5, _xlfn.XLOOKUP($A34,'QB_Funds Analysis raw'!$A$6:$A$104,'QB_Funds Analysis raw'!$B$6:$AC$104))),0,(_xlfn.XLOOKUP(M$5,'QB_Funds Analysis raw'!$B$5:$AC$5, _xlfn.XLOOKUP($A34,'QB_Funds Analysis raw'!$A$6:$A$104,'QB_Funds Analysis raw'!$B$6:$AC$104))))</f>
        <v>0</v>
      </c>
      <c r="N34" s="252" cm="1">
        <f t="array" ref="N34">IF(ISERROR(_xlfn.XLOOKUP(N$5,'QB_Funds Analysis raw'!$B$5:$AC$5, _xlfn.XLOOKUP($A34,'QB_Funds Analysis raw'!$A$6:$A$104,'QB_Funds Analysis raw'!$B$6:$AC$104))),0,(_xlfn.XLOOKUP(N$5,'QB_Funds Analysis raw'!$B$5:$AC$5, _xlfn.XLOOKUP($A34,'QB_Funds Analysis raw'!$A$6:$A$104,'QB_Funds Analysis raw'!$B$6:$AC$104))))</f>
        <v>0</v>
      </c>
      <c r="O34" s="252" cm="1">
        <f t="array" ref="O34">IF(ISERROR(_xlfn.XLOOKUP(O$5,'QB_Funds Analysis raw'!$B$5:$AC$5, _xlfn.XLOOKUP($A34,'QB_Funds Analysis raw'!$A$6:$A$104,'QB_Funds Analysis raw'!$B$6:$AC$104))),0,(_xlfn.XLOOKUP(O$5,'QB_Funds Analysis raw'!$B$5:$AC$5, _xlfn.XLOOKUP($A34,'QB_Funds Analysis raw'!$A$6:$A$104,'QB_Funds Analysis raw'!$B$6:$AC$104))))</f>
        <v>0</v>
      </c>
      <c r="P34" s="142" cm="1">
        <f t="array" ref="P34">IF(ISERROR(_xlfn.XLOOKUP(P$5,'QB_Funds Analysis raw'!$B$5:$AC$5, _xlfn.XLOOKUP($A34,'QB_Funds Analysis raw'!$A$6:$A$104,'QB_Funds Analysis raw'!$B$6:$AC$104))),0,(_xlfn.XLOOKUP(P$5,'QB_Funds Analysis raw'!$B$5:$AC$5, _xlfn.XLOOKUP($A34,'QB_Funds Analysis raw'!$A$6:$A$104,'QB_Funds Analysis raw'!$B$6:$AC$104))))</f>
        <v>0</v>
      </c>
      <c r="Q34" s="247" cm="1">
        <f t="array" ref="Q34">IF(ISERROR(_xlfn.XLOOKUP(Q$5,'QB_Funds Analysis raw'!$B$5:$AC$5, _xlfn.XLOOKUP($A34,'QB_Funds Analysis raw'!$A$6:$A$104,'QB_Funds Analysis raw'!$B$6:$AC$104))),0,(_xlfn.XLOOKUP(Q$5,'QB_Funds Analysis raw'!$B$5:$AC$5, _xlfn.XLOOKUP($A34,'QB_Funds Analysis raw'!$A$6:$A$104,'QB_Funds Analysis raw'!$B$6:$AC$104))))</f>
        <v>0</v>
      </c>
      <c r="R34" s="142" cm="1">
        <f t="array" ref="R34">IF(ISERROR(_xlfn.XLOOKUP(R$5,'QB_Funds Analysis raw'!$B$5:$AC$5, _xlfn.XLOOKUP($A34,'QB_Funds Analysis raw'!$A$6:$A$104,'QB_Funds Analysis raw'!$B$6:$AC$104))),0,(_xlfn.XLOOKUP(R$5,'QB_Funds Analysis raw'!$B$5:$AC$5, _xlfn.XLOOKUP($A34,'QB_Funds Analysis raw'!$A$6:$A$104,'QB_Funds Analysis raw'!$B$6:$AC$104))))</f>
        <v>0</v>
      </c>
      <c r="S34" s="142" cm="1">
        <f t="array" ref="S34">IF(ISERROR(_xlfn.XLOOKUP(S$5,'QB_Funds Analysis raw'!$B$5:$AC$5, _xlfn.XLOOKUP($A34,'QB_Funds Analysis raw'!$A$6:$A$104,'QB_Funds Analysis raw'!$B$6:$AC$104))),0,(_xlfn.XLOOKUP(S$5,'QB_Funds Analysis raw'!$B$5:$AC$5, _xlfn.XLOOKUP($A34,'QB_Funds Analysis raw'!$A$6:$A$104,'QB_Funds Analysis raw'!$B$6:$AC$104))))</f>
        <v>0</v>
      </c>
      <c r="T34" s="142" cm="1">
        <f t="array" ref="T34">IF(ISERROR(_xlfn.XLOOKUP(T$5,'QB_Funds Analysis raw'!$B$5:$AC$5, _xlfn.XLOOKUP($A34,'QB_Funds Analysis raw'!$A$6:$A$104,'QB_Funds Analysis raw'!$B$6:$AC$104))),0,(_xlfn.XLOOKUP(T$5,'QB_Funds Analysis raw'!$B$5:$AC$5, _xlfn.XLOOKUP($A34,'QB_Funds Analysis raw'!$A$6:$A$104,'QB_Funds Analysis raw'!$B$6:$AC$104))))</f>
        <v>0</v>
      </c>
      <c r="U34" s="142" cm="1">
        <f t="array" ref="U34">IF(ISERROR(_xlfn.XLOOKUP(U$5,'QB_Funds Analysis raw'!$B$5:$AC$5, _xlfn.XLOOKUP($A34,'QB_Funds Analysis raw'!$A$6:$A$104,'QB_Funds Analysis raw'!$B$6:$AC$104))),0,(_xlfn.XLOOKUP(U$5,'QB_Funds Analysis raw'!$B$5:$AC$5, _xlfn.XLOOKUP($A34,'QB_Funds Analysis raw'!$A$6:$A$104,'QB_Funds Analysis raw'!$B$6:$AC$104))))</f>
        <v>0</v>
      </c>
      <c r="V34" s="142" cm="1">
        <f t="array" ref="V34">IF(ISERROR(_xlfn.XLOOKUP(V$5,'QB_Funds Analysis raw'!$B$5:$AC$5, _xlfn.XLOOKUP($A34,'QB_Funds Analysis raw'!$A$6:$A$104,'QB_Funds Analysis raw'!$B$6:$AC$104))),0,(_xlfn.XLOOKUP(V$5,'QB_Funds Analysis raw'!$B$5:$AC$5, _xlfn.XLOOKUP($A34,'QB_Funds Analysis raw'!$A$6:$A$104,'QB_Funds Analysis raw'!$B$6:$AC$104))))</f>
        <v>0</v>
      </c>
      <c r="W34" s="142" cm="1">
        <f t="array" ref="W34">IF(ISERROR(_xlfn.XLOOKUP(W$5,'QB_Funds Analysis raw'!$B$5:$AC$5, _xlfn.XLOOKUP($A34,'QB_Funds Analysis raw'!$A$6:$A$104,'QB_Funds Analysis raw'!$B$6:$AC$104))),0,(_xlfn.XLOOKUP(W$5,'QB_Funds Analysis raw'!$B$5:$AC$5, _xlfn.XLOOKUP($A34,'QB_Funds Analysis raw'!$A$6:$A$104,'QB_Funds Analysis raw'!$B$6:$AC$104))))</f>
        <v>0</v>
      </c>
      <c r="X34" s="142" cm="1">
        <f t="array" ref="X34">IF(ISERROR(_xlfn.XLOOKUP(X$5,'QB_Funds Analysis raw'!$B$5:$AC$5, _xlfn.XLOOKUP($A34,'QB_Funds Analysis raw'!$A$6:$A$104,'QB_Funds Analysis raw'!$B$6:$AC$104))),0,(_xlfn.XLOOKUP(X$5,'QB_Funds Analysis raw'!$B$5:$AC$5, _xlfn.XLOOKUP($A34,'QB_Funds Analysis raw'!$A$6:$A$104,'QB_Funds Analysis raw'!$B$6:$AC$104))))</f>
        <v>0</v>
      </c>
      <c r="Y34" s="142" cm="1">
        <f t="array" ref="Y34">IF(ISERROR(_xlfn.XLOOKUP(Y$5,'QB_Funds Analysis raw'!$B$5:$AC$5, _xlfn.XLOOKUP($A34,'QB_Funds Analysis raw'!$A$6:$A$104,'QB_Funds Analysis raw'!$B$6:$AC$104))),0,(_xlfn.XLOOKUP(Y$5,'QB_Funds Analysis raw'!$B$5:$AC$5, _xlfn.XLOOKUP($A34,'QB_Funds Analysis raw'!$A$6:$A$104,'QB_Funds Analysis raw'!$B$6:$AC$104))))</f>
        <v>0</v>
      </c>
      <c r="Z34" s="142" cm="1">
        <f t="array" ref="Z34">IF(ISERROR(_xlfn.XLOOKUP(Z$5,'QB_Funds Analysis raw'!$B$5:$AC$5, _xlfn.XLOOKUP($A34,'QB_Funds Analysis raw'!$A$6:$A$104,'QB_Funds Analysis raw'!$B$6:$AC$104))),0,(_xlfn.XLOOKUP(Z$5,'QB_Funds Analysis raw'!$B$5:$AC$5, _xlfn.XLOOKUP($A34,'QB_Funds Analysis raw'!$A$6:$A$104,'QB_Funds Analysis raw'!$B$6:$AC$104))))</f>
        <v>0</v>
      </c>
      <c r="AA34" s="142" cm="1">
        <f t="array" ref="AA34">IF(ISERROR(_xlfn.XLOOKUP(AA$5,'QB_Funds Analysis raw'!$B$5:$AC$5, _xlfn.XLOOKUP($A34,'QB_Funds Analysis raw'!$A$6:$A$104,'QB_Funds Analysis raw'!$B$6:$AC$104))),0,(_xlfn.XLOOKUP(AA$5,'QB_Funds Analysis raw'!$B$5:$AC$5, _xlfn.XLOOKUP($A34,'QB_Funds Analysis raw'!$A$6:$A$104,'QB_Funds Analysis raw'!$B$6:$AC$104))))</f>
        <v>0</v>
      </c>
      <c r="AB34" s="142" cm="1">
        <f t="array" ref="AB34">IF(ISERROR(_xlfn.XLOOKUP(AB$5,'QB_Funds Analysis raw'!$B$5:$AC$5, _xlfn.XLOOKUP($A34,'QB_Funds Analysis raw'!$A$6:$A$104,'QB_Funds Analysis raw'!$B$6:$AC$104))),0,(_xlfn.XLOOKUP(AB$5,'QB_Funds Analysis raw'!$B$5:$AC$5, _xlfn.XLOOKUP($A34,'QB_Funds Analysis raw'!$A$6:$A$104,'QB_Funds Analysis raw'!$B$6:$AC$104))))</f>
        <v>41361.5</v>
      </c>
      <c r="AC34" s="142" cm="1">
        <f t="array" ref="AC34">IF(ISERROR(_xlfn.XLOOKUP(AC$5,'QB_Funds Analysis raw'!$B$5:$AC$5, _xlfn.XLOOKUP($A34,'QB_Funds Analysis raw'!$A$6:$A$104,'QB_Funds Analysis raw'!$B$6:$AC$104))),0,(_xlfn.XLOOKUP(AC$5,'QB_Funds Analysis raw'!$B$5:$AC$5, _xlfn.XLOOKUP($A34,'QB_Funds Analysis raw'!$A$6:$A$104,'QB_Funds Analysis raw'!$B$6:$AC$104))))</f>
        <v>41361.5</v>
      </c>
      <c r="AD34" s="167">
        <f t="shared" si="0"/>
        <v>41361.5</v>
      </c>
      <c r="AE34" s="167">
        <f t="shared" si="4"/>
        <v>0</v>
      </c>
    </row>
    <row r="35" spans="1:31" ht="20.25" customHeight="1" x14ac:dyDescent="0.25">
      <c r="A35" s="2" t="s">
        <v>42</v>
      </c>
      <c r="B35" s="142" cm="1">
        <f t="array" ref="B35">IF(ISERROR(_xlfn.XLOOKUP(B$5,'QB_Funds Analysis raw'!$B$5:$AC$5, _xlfn.XLOOKUP($A35,'QB_Funds Analysis raw'!$A$6:$A$104,'QB_Funds Analysis raw'!$B$6:$AC$104))),0,(_xlfn.XLOOKUP(B$5,'QB_Funds Analysis raw'!$B$5:$AC$5, _xlfn.XLOOKUP($A35,'QB_Funds Analysis raw'!$A$6:$A$104,'QB_Funds Analysis raw'!$B$6:$AC$104))))</f>
        <v>0</v>
      </c>
      <c r="C35" s="142" cm="1">
        <f t="array" ref="C35">IF(ISERROR(_xlfn.XLOOKUP(C$5,'QB_Funds Analysis raw'!$B$5:$AC$5, _xlfn.XLOOKUP($A35,'QB_Funds Analysis raw'!$A$6:$A$104,'QB_Funds Analysis raw'!$B$6:$AC$104))),0,(_xlfn.XLOOKUP(C$5,'QB_Funds Analysis raw'!$B$5:$AC$5, _xlfn.XLOOKUP($A35,'QB_Funds Analysis raw'!$A$6:$A$104,'QB_Funds Analysis raw'!$B$6:$AC$104))))</f>
        <v>0</v>
      </c>
      <c r="D35" s="252" cm="1">
        <f t="array" ref="D35">IF(ISERROR(_xlfn.XLOOKUP(D$5,'QB_Funds Analysis raw'!$B$5:$AC$5, _xlfn.XLOOKUP($A35,'QB_Funds Analysis raw'!$A$6:$A$104,'QB_Funds Analysis raw'!$B$6:$AC$104))),0,(_xlfn.XLOOKUP(D$5,'QB_Funds Analysis raw'!$B$5:$AC$5, _xlfn.XLOOKUP($A35,'QB_Funds Analysis raw'!$A$6:$A$104,'QB_Funds Analysis raw'!$B$6:$AC$104))))</f>
        <v>0</v>
      </c>
      <c r="E35" s="142" cm="1">
        <f t="array" ref="E35">IF(ISERROR(_xlfn.XLOOKUP(E$5,'QB_Funds Analysis raw'!$B$5:$AC$5, _xlfn.XLOOKUP($A35,'QB_Funds Analysis raw'!$A$6:$A$104,'QB_Funds Analysis raw'!$B$6:$AC$104))),0,(_xlfn.XLOOKUP(E$5,'QB_Funds Analysis raw'!$B$5:$AC$5, _xlfn.XLOOKUP($A35,'QB_Funds Analysis raw'!$A$6:$A$104,'QB_Funds Analysis raw'!$B$6:$AC$104))))</f>
        <v>0</v>
      </c>
      <c r="F35" s="142" cm="1">
        <f t="array" ref="F35">IF(ISERROR(_xlfn.XLOOKUP(F$5,'QB_Funds Analysis raw'!$B$5:$AC$5, _xlfn.XLOOKUP($A35,'QB_Funds Analysis raw'!$A$6:$A$104,'QB_Funds Analysis raw'!$B$6:$AC$104))),0,(_xlfn.XLOOKUP(F$5,'QB_Funds Analysis raw'!$B$5:$AC$5, _xlfn.XLOOKUP($A35,'QB_Funds Analysis raw'!$A$6:$A$104,'QB_Funds Analysis raw'!$B$6:$AC$104))))</f>
        <v>0</v>
      </c>
      <c r="G35" s="142" cm="1">
        <f t="array" ref="G35">IF(ISERROR(_xlfn.XLOOKUP(G$5,'QB_Funds Analysis raw'!$B$5:$AC$5, _xlfn.XLOOKUP($A35,'QB_Funds Analysis raw'!$A$6:$A$104,'QB_Funds Analysis raw'!$B$6:$AC$104))),0,(_xlfn.XLOOKUP(G$5,'QB_Funds Analysis raw'!$B$5:$AC$5, _xlfn.XLOOKUP($A35,'QB_Funds Analysis raw'!$A$6:$A$104,'QB_Funds Analysis raw'!$B$6:$AC$104))))</f>
        <v>0</v>
      </c>
      <c r="H35" s="142" cm="1">
        <f t="array" ref="H35">IF(ISERROR(_xlfn.XLOOKUP(H$5,'QB_Funds Analysis raw'!$B$5:$AC$5, _xlfn.XLOOKUP($A35,'QB_Funds Analysis raw'!$A$6:$A$104,'QB_Funds Analysis raw'!$B$6:$AC$104))),0,(_xlfn.XLOOKUP(H$5,'QB_Funds Analysis raw'!$B$5:$AC$5, _xlfn.XLOOKUP($A35,'QB_Funds Analysis raw'!$A$6:$A$104,'QB_Funds Analysis raw'!$B$6:$AC$104))))</f>
        <v>0</v>
      </c>
      <c r="I35" s="142" cm="1">
        <f t="array" ref="I35">IF(ISERROR(_xlfn.XLOOKUP(I$5,'QB_Funds Analysis raw'!$B$5:$AC$5, _xlfn.XLOOKUP($A35,'QB_Funds Analysis raw'!$A$6:$A$104,'QB_Funds Analysis raw'!$B$6:$AC$104))),0,(_xlfn.XLOOKUP(I$5,'QB_Funds Analysis raw'!$B$5:$AC$5, _xlfn.XLOOKUP($A35,'QB_Funds Analysis raw'!$A$6:$A$104,'QB_Funds Analysis raw'!$B$6:$AC$104))))</f>
        <v>0</v>
      </c>
      <c r="J35" s="142" cm="1">
        <f t="array" ref="J35">IF(ISERROR(_xlfn.XLOOKUP(J$5,'QB_Funds Analysis raw'!$B$5:$AC$5, _xlfn.XLOOKUP($A35,'QB_Funds Analysis raw'!$A$6:$A$104,'QB_Funds Analysis raw'!$B$6:$AC$104))),0,(_xlfn.XLOOKUP(J$5,'QB_Funds Analysis raw'!$B$5:$AC$5, _xlfn.XLOOKUP($A35,'QB_Funds Analysis raw'!$A$6:$A$104,'QB_Funds Analysis raw'!$B$6:$AC$104))))</f>
        <v>0</v>
      </c>
      <c r="K35" s="252" cm="1">
        <f t="array" ref="K35">IF(ISERROR(_xlfn.XLOOKUP(K$5,'QB_Funds Analysis raw'!$B$5:$AC$5, _xlfn.XLOOKUP($A35,'QB_Funds Analysis raw'!$A$6:$A$104,'QB_Funds Analysis raw'!$B$6:$AC$104))),0,(_xlfn.XLOOKUP(K$5,'QB_Funds Analysis raw'!$B$5:$AC$5, _xlfn.XLOOKUP($A35,'QB_Funds Analysis raw'!$A$6:$A$104,'QB_Funds Analysis raw'!$B$6:$AC$104))))</f>
        <v>0</v>
      </c>
      <c r="L35" s="142" cm="1">
        <f t="array" ref="L35">IF(ISERROR(_xlfn.XLOOKUP(L$5,'QB_Funds Analysis raw'!$B$5:$AC$5, _xlfn.XLOOKUP($A35,'QB_Funds Analysis raw'!$A$6:$A$104,'QB_Funds Analysis raw'!$B$6:$AC$104))),0,(_xlfn.XLOOKUP(L$5,'QB_Funds Analysis raw'!$B$5:$AC$5, _xlfn.XLOOKUP($A35,'QB_Funds Analysis raw'!$A$6:$A$104,'QB_Funds Analysis raw'!$B$6:$AC$104))))</f>
        <v>0</v>
      </c>
      <c r="M35" s="142" cm="1">
        <f t="array" ref="M35">IF(ISERROR(_xlfn.XLOOKUP(M$5,'QB_Funds Analysis raw'!$B$5:$AC$5, _xlfn.XLOOKUP($A35,'QB_Funds Analysis raw'!$A$6:$A$104,'QB_Funds Analysis raw'!$B$6:$AC$104))),0,(_xlfn.XLOOKUP(M$5,'QB_Funds Analysis raw'!$B$5:$AC$5, _xlfn.XLOOKUP($A35,'QB_Funds Analysis raw'!$A$6:$A$104,'QB_Funds Analysis raw'!$B$6:$AC$104))))</f>
        <v>0</v>
      </c>
      <c r="N35" s="252" cm="1">
        <f t="array" ref="N35">IF(ISERROR(_xlfn.XLOOKUP(N$5,'QB_Funds Analysis raw'!$B$5:$AC$5, _xlfn.XLOOKUP($A35,'QB_Funds Analysis raw'!$A$6:$A$104,'QB_Funds Analysis raw'!$B$6:$AC$104))),0,(_xlfn.XLOOKUP(N$5,'QB_Funds Analysis raw'!$B$5:$AC$5, _xlfn.XLOOKUP($A35,'QB_Funds Analysis raw'!$A$6:$A$104,'QB_Funds Analysis raw'!$B$6:$AC$104))))</f>
        <v>0</v>
      </c>
      <c r="O35" s="252" cm="1">
        <f t="array" ref="O35">IF(ISERROR(_xlfn.XLOOKUP(O$5,'QB_Funds Analysis raw'!$B$5:$AC$5, _xlfn.XLOOKUP($A35,'QB_Funds Analysis raw'!$A$6:$A$104,'QB_Funds Analysis raw'!$B$6:$AC$104))),0,(_xlfn.XLOOKUP(O$5,'QB_Funds Analysis raw'!$B$5:$AC$5, _xlfn.XLOOKUP($A35,'QB_Funds Analysis raw'!$A$6:$A$104,'QB_Funds Analysis raw'!$B$6:$AC$104))))</f>
        <v>0</v>
      </c>
      <c r="P35" s="142" cm="1">
        <f t="array" ref="P35">IF(ISERROR(_xlfn.XLOOKUP(P$5,'QB_Funds Analysis raw'!$B$5:$AC$5, _xlfn.XLOOKUP($A35,'QB_Funds Analysis raw'!$A$6:$A$104,'QB_Funds Analysis raw'!$B$6:$AC$104))),0,(_xlfn.XLOOKUP(P$5,'QB_Funds Analysis raw'!$B$5:$AC$5, _xlfn.XLOOKUP($A35,'QB_Funds Analysis raw'!$A$6:$A$104,'QB_Funds Analysis raw'!$B$6:$AC$104))))</f>
        <v>0</v>
      </c>
      <c r="Q35" s="247" cm="1">
        <f t="array" ref="Q35">IF(ISERROR(_xlfn.XLOOKUP(Q$5,'QB_Funds Analysis raw'!$B$5:$AC$5, _xlfn.XLOOKUP($A35,'QB_Funds Analysis raw'!$A$6:$A$104,'QB_Funds Analysis raw'!$B$6:$AC$104))),0,(_xlfn.XLOOKUP(Q$5,'QB_Funds Analysis raw'!$B$5:$AC$5, _xlfn.XLOOKUP($A35,'QB_Funds Analysis raw'!$A$6:$A$104,'QB_Funds Analysis raw'!$B$6:$AC$104))))</f>
        <v>0</v>
      </c>
      <c r="R35" s="142" cm="1">
        <f t="array" ref="R35">IF(ISERROR(_xlfn.XLOOKUP(R$5,'QB_Funds Analysis raw'!$B$5:$AC$5, _xlfn.XLOOKUP($A35,'QB_Funds Analysis raw'!$A$6:$A$104,'QB_Funds Analysis raw'!$B$6:$AC$104))),0,(_xlfn.XLOOKUP(R$5,'QB_Funds Analysis raw'!$B$5:$AC$5, _xlfn.XLOOKUP($A35,'QB_Funds Analysis raw'!$A$6:$A$104,'QB_Funds Analysis raw'!$B$6:$AC$104))))</f>
        <v>0</v>
      </c>
      <c r="S35" s="142" cm="1">
        <f t="array" ref="S35">IF(ISERROR(_xlfn.XLOOKUP(S$5,'QB_Funds Analysis raw'!$B$5:$AC$5, _xlfn.XLOOKUP($A35,'QB_Funds Analysis raw'!$A$6:$A$104,'QB_Funds Analysis raw'!$B$6:$AC$104))),0,(_xlfn.XLOOKUP(S$5,'QB_Funds Analysis raw'!$B$5:$AC$5, _xlfn.XLOOKUP($A35,'QB_Funds Analysis raw'!$A$6:$A$104,'QB_Funds Analysis raw'!$B$6:$AC$104))))</f>
        <v>0</v>
      </c>
      <c r="T35" s="142" cm="1">
        <f t="array" ref="T35">IF(ISERROR(_xlfn.XLOOKUP(T$5,'QB_Funds Analysis raw'!$B$5:$AC$5, _xlfn.XLOOKUP($A35,'QB_Funds Analysis raw'!$A$6:$A$104,'QB_Funds Analysis raw'!$B$6:$AC$104))),0,(_xlfn.XLOOKUP(T$5,'QB_Funds Analysis raw'!$B$5:$AC$5, _xlfn.XLOOKUP($A35,'QB_Funds Analysis raw'!$A$6:$A$104,'QB_Funds Analysis raw'!$B$6:$AC$104))))</f>
        <v>0</v>
      </c>
      <c r="U35" s="142" cm="1">
        <f t="array" ref="U35">IF(ISERROR(_xlfn.XLOOKUP(U$5,'QB_Funds Analysis raw'!$B$5:$AC$5, _xlfn.XLOOKUP($A35,'QB_Funds Analysis raw'!$A$6:$A$104,'QB_Funds Analysis raw'!$B$6:$AC$104))),0,(_xlfn.XLOOKUP(U$5,'QB_Funds Analysis raw'!$B$5:$AC$5, _xlfn.XLOOKUP($A35,'QB_Funds Analysis raw'!$A$6:$A$104,'QB_Funds Analysis raw'!$B$6:$AC$104))))</f>
        <v>0</v>
      </c>
      <c r="V35" s="142" cm="1">
        <f t="array" ref="V35">IF(ISERROR(_xlfn.XLOOKUP(V$5,'QB_Funds Analysis raw'!$B$5:$AC$5, _xlfn.XLOOKUP($A35,'QB_Funds Analysis raw'!$A$6:$A$104,'QB_Funds Analysis raw'!$B$6:$AC$104))),0,(_xlfn.XLOOKUP(V$5,'QB_Funds Analysis raw'!$B$5:$AC$5, _xlfn.XLOOKUP($A35,'QB_Funds Analysis raw'!$A$6:$A$104,'QB_Funds Analysis raw'!$B$6:$AC$104))))</f>
        <v>0</v>
      </c>
      <c r="W35" s="142" cm="1">
        <f t="array" ref="W35">IF(ISERROR(_xlfn.XLOOKUP(W$5,'QB_Funds Analysis raw'!$B$5:$AC$5, _xlfn.XLOOKUP($A35,'QB_Funds Analysis raw'!$A$6:$A$104,'QB_Funds Analysis raw'!$B$6:$AC$104))),0,(_xlfn.XLOOKUP(W$5,'QB_Funds Analysis raw'!$B$5:$AC$5, _xlfn.XLOOKUP($A35,'QB_Funds Analysis raw'!$A$6:$A$104,'QB_Funds Analysis raw'!$B$6:$AC$104))))</f>
        <v>0</v>
      </c>
      <c r="X35" s="142" cm="1">
        <f t="array" ref="X35">IF(ISERROR(_xlfn.XLOOKUP(X$5,'QB_Funds Analysis raw'!$B$5:$AC$5, _xlfn.XLOOKUP($A35,'QB_Funds Analysis raw'!$A$6:$A$104,'QB_Funds Analysis raw'!$B$6:$AC$104))),0,(_xlfn.XLOOKUP(X$5,'QB_Funds Analysis raw'!$B$5:$AC$5, _xlfn.XLOOKUP($A35,'QB_Funds Analysis raw'!$A$6:$A$104,'QB_Funds Analysis raw'!$B$6:$AC$104))))</f>
        <v>0</v>
      </c>
      <c r="Y35" s="142" cm="1">
        <f t="array" ref="Y35">IF(ISERROR(_xlfn.XLOOKUP(Y$5,'QB_Funds Analysis raw'!$B$5:$AC$5, _xlfn.XLOOKUP($A35,'QB_Funds Analysis raw'!$A$6:$A$104,'QB_Funds Analysis raw'!$B$6:$AC$104))),0,(_xlfn.XLOOKUP(Y$5,'QB_Funds Analysis raw'!$B$5:$AC$5, _xlfn.XLOOKUP($A35,'QB_Funds Analysis raw'!$A$6:$A$104,'QB_Funds Analysis raw'!$B$6:$AC$104))))</f>
        <v>0</v>
      </c>
      <c r="Z35" s="142" cm="1">
        <f t="array" ref="Z35">IF(ISERROR(_xlfn.XLOOKUP(Z$5,'QB_Funds Analysis raw'!$B$5:$AC$5, _xlfn.XLOOKUP($A35,'QB_Funds Analysis raw'!$A$6:$A$104,'QB_Funds Analysis raw'!$B$6:$AC$104))),0,(_xlfn.XLOOKUP(Z$5,'QB_Funds Analysis raw'!$B$5:$AC$5, _xlfn.XLOOKUP($A35,'QB_Funds Analysis raw'!$A$6:$A$104,'QB_Funds Analysis raw'!$B$6:$AC$104))))</f>
        <v>0</v>
      </c>
      <c r="AA35" s="142" cm="1">
        <f t="array" ref="AA35">IF(ISERROR(_xlfn.XLOOKUP(AA$5,'QB_Funds Analysis raw'!$B$5:$AC$5, _xlfn.XLOOKUP($A35,'QB_Funds Analysis raw'!$A$6:$A$104,'QB_Funds Analysis raw'!$B$6:$AC$104))),0,(_xlfn.XLOOKUP(AA$5,'QB_Funds Analysis raw'!$B$5:$AC$5, _xlfn.XLOOKUP($A35,'QB_Funds Analysis raw'!$A$6:$A$104,'QB_Funds Analysis raw'!$B$6:$AC$104))))</f>
        <v>0</v>
      </c>
      <c r="AB35" s="142" cm="1">
        <f t="array" ref="AB35">IF(ISERROR(_xlfn.XLOOKUP(AB$5,'QB_Funds Analysis raw'!$B$5:$AC$5, _xlfn.XLOOKUP($A35,'QB_Funds Analysis raw'!$A$6:$A$104,'QB_Funds Analysis raw'!$B$6:$AC$104))),0,(_xlfn.XLOOKUP(AB$5,'QB_Funds Analysis raw'!$B$5:$AC$5, _xlfn.XLOOKUP($A35,'QB_Funds Analysis raw'!$A$6:$A$104,'QB_Funds Analysis raw'!$B$6:$AC$104))))</f>
        <v>5181.42</v>
      </c>
      <c r="AC35" s="142" cm="1">
        <f t="array" ref="AC35">IF(ISERROR(_xlfn.XLOOKUP(AC$5,'QB_Funds Analysis raw'!$B$5:$AC$5, _xlfn.XLOOKUP($A35,'QB_Funds Analysis raw'!$A$6:$A$104,'QB_Funds Analysis raw'!$B$6:$AC$104))),0,(_xlfn.XLOOKUP(AC$5,'QB_Funds Analysis raw'!$B$5:$AC$5, _xlfn.XLOOKUP($A35,'QB_Funds Analysis raw'!$A$6:$A$104,'QB_Funds Analysis raw'!$B$6:$AC$104))))</f>
        <v>5181.42</v>
      </c>
      <c r="AD35" s="167">
        <f t="shared" si="0"/>
        <v>5181.42</v>
      </c>
      <c r="AE35" s="167">
        <f t="shared" si="4"/>
        <v>0</v>
      </c>
    </row>
    <row r="36" spans="1:31" ht="20.25" customHeight="1" x14ac:dyDescent="0.25">
      <c r="A36" s="2" t="s">
        <v>43</v>
      </c>
      <c r="B36" s="142" cm="1">
        <f t="array" ref="B36">IF(ISERROR(_xlfn.XLOOKUP(B$5,'QB_Funds Analysis raw'!$B$5:$AC$5, _xlfn.XLOOKUP($A36,'QB_Funds Analysis raw'!$A$6:$A$104,'QB_Funds Analysis raw'!$B$6:$AC$104))),0,(_xlfn.XLOOKUP(B$5,'QB_Funds Analysis raw'!$B$5:$AC$5, _xlfn.XLOOKUP($A36,'QB_Funds Analysis raw'!$A$6:$A$104,'QB_Funds Analysis raw'!$B$6:$AC$104))))</f>
        <v>0</v>
      </c>
      <c r="C36" s="142" cm="1">
        <f t="array" ref="C36">IF(ISERROR(_xlfn.XLOOKUP(C$5,'QB_Funds Analysis raw'!$B$5:$AC$5, _xlfn.XLOOKUP($A36,'QB_Funds Analysis raw'!$A$6:$A$104,'QB_Funds Analysis raw'!$B$6:$AC$104))),0,(_xlfn.XLOOKUP(C$5,'QB_Funds Analysis raw'!$B$5:$AC$5, _xlfn.XLOOKUP($A36,'QB_Funds Analysis raw'!$A$6:$A$104,'QB_Funds Analysis raw'!$B$6:$AC$104))))</f>
        <v>0</v>
      </c>
      <c r="D36" s="252" cm="1">
        <f t="array" ref="D36">IF(ISERROR(_xlfn.XLOOKUP(D$5,'QB_Funds Analysis raw'!$B$5:$AC$5, _xlfn.XLOOKUP($A36,'QB_Funds Analysis raw'!$A$6:$A$104,'QB_Funds Analysis raw'!$B$6:$AC$104))),0,(_xlfn.XLOOKUP(D$5,'QB_Funds Analysis raw'!$B$5:$AC$5, _xlfn.XLOOKUP($A36,'QB_Funds Analysis raw'!$A$6:$A$104,'QB_Funds Analysis raw'!$B$6:$AC$104))))</f>
        <v>0</v>
      </c>
      <c r="E36" s="142" cm="1">
        <f t="array" ref="E36">IF(ISERROR(_xlfn.XLOOKUP(E$5,'QB_Funds Analysis raw'!$B$5:$AC$5, _xlfn.XLOOKUP($A36,'QB_Funds Analysis raw'!$A$6:$A$104,'QB_Funds Analysis raw'!$B$6:$AC$104))),0,(_xlfn.XLOOKUP(E$5,'QB_Funds Analysis raw'!$B$5:$AC$5, _xlfn.XLOOKUP($A36,'QB_Funds Analysis raw'!$A$6:$A$104,'QB_Funds Analysis raw'!$B$6:$AC$104))))</f>
        <v>0</v>
      </c>
      <c r="F36" s="142" cm="1">
        <f t="array" ref="F36">IF(ISERROR(_xlfn.XLOOKUP(F$5,'QB_Funds Analysis raw'!$B$5:$AC$5, _xlfn.XLOOKUP($A36,'QB_Funds Analysis raw'!$A$6:$A$104,'QB_Funds Analysis raw'!$B$6:$AC$104))),0,(_xlfn.XLOOKUP(F$5,'QB_Funds Analysis raw'!$B$5:$AC$5, _xlfn.XLOOKUP($A36,'QB_Funds Analysis raw'!$A$6:$A$104,'QB_Funds Analysis raw'!$B$6:$AC$104))))</f>
        <v>0</v>
      </c>
      <c r="G36" s="142" cm="1">
        <f t="array" ref="G36">IF(ISERROR(_xlfn.XLOOKUP(G$5,'QB_Funds Analysis raw'!$B$5:$AC$5, _xlfn.XLOOKUP($A36,'QB_Funds Analysis raw'!$A$6:$A$104,'QB_Funds Analysis raw'!$B$6:$AC$104))),0,(_xlfn.XLOOKUP(G$5,'QB_Funds Analysis raw'!$B$5:$AC$5, _xlfn.XLOOKUP($A36,'QB_Funds Analysis raw'!$A$6:$A$104,'QB_Funds Analysis raw'!$B$6:$AC$104))))</f>
        <v>0</v>
      </c>
      <c r="H36" s="142" cm="1">
        <f t="array" ref="H36">IF(ISERROR(_xlfn.XLOOKUP(H$5,'QB_Funds Analysis raw'!$B$5:$AC$5, _xlfn.XLOOKUP($A36,'QB_Funds Analysis raw'!$A$6:$A$104,'QB_Funds Analysis raw'!$B$6:$AC$104))),0,(_xlfn.XLOOKUP(H$5,'QB_Funds Analysis raw'!$B$5:$AC$5, _xlfn.XLOOKUP($A36,'QB_Funds Analysis raw'!$A$6:$A$104,'QB_Funds Analysis raw'!$B$6:$AC$104))))</f>
        <v>0</v>
      </c>
      <c r="I36" s="142" cm="1">
        <f t="array" ref="I36">IF(ISERROR(_xlfn.XLOOKUP(I$5,'QB_Funds Analysis raw'!$B$5:$AC$5, _xlfn.XLOOKUP($A36,'QB_Funds Analysis raw'!$A$6:$A$104,'QB_Funds Analysis raw'!$B$6:$AC$104))),0,(_xlfn.XLOOKUP(I$5,'QB_Funds Analysis raw'!$B$5:$AC$5, _xlfn.XLOOKUP($A36,'QB_Funds Analysis raw'!$A$6:$A$104,'QB_Funds Analysis raw'!$B$6:$AC$104))))</f>
        <v>0</v>
      </c>
      <c r="J36" s="142" cm="1">
        <f t="array" ref="J36">IF(ISERROR(_xlfn.XLOOKUP(J$5,'QB_Funds Analysis raw'!$B$5:$AC$5, _xlfn.XLOOKUP($A36,'QB_Funds Analysis raw'!$A$6:$A$104,'QB_Funds Analysis raw'!$B$6:$AC$104))),0,(_xlfn.XLOOKUP(J$5,'QB_Funds Analysis raw'!$B$5:$AC$5, _xlfn.XLOOKUP($A36,'QB_Funds Analysis raw'!$A$6:$A$104,'QB_Funds Analysis raw'!$B$6:$AC$104))))</f>
        <v>552.20000000000005</v>
      </c>
      <c r="K36" s="252" cm="1">
        <f t="array" ref="K36">IF(ISERROR(_xlfn.XLOOKUP(K$5,'QB_Funds Analysis raw'!$B$5:$AC$5, _xlfn.XLOOKUP($A36,'QB_Funds Analysis raw'!$A$6:$A$104,'QB_Funds Analysis raw'!$B$6:$AC$104))),0,(_xlfn.XLOOKUP(K$5,'QB_Funds Analysis raw'!$B$5:$AC$5, _xlfn.XLOOKUP($A36,'QB_Funds Analysis raw'!$A$6:$A$104,'QB_Funds Analysis raw'!$B$6:$AC$104))))</f>
        <v>1306.8900000000001</v>
      </c>
      <c r="L36" s="142" cm="1">
        <f t="array" ref="L36">IF(ISERROR(_xlfn.XLOOKUP(L$5,'QB_Funds Analysis raw'!$B$5:$AC$5, _xlfn.XLOOKUP($A36,'QB_Funds Analysis raw'!$A$6:$A$104,'QB_Funds Analysis raw'!$B$6:$AC$104))),0,(_xlfn.XLOOKUP(L$5,'QB_Funds Analysis raw'!$B$5:$AC$5, _xlfn.XLOOKUP($A36,'QB_Funds Analysis raw'!$A$6:$A$104,'QB_Funds Analysis raw'!$B$6:$AC$104))))</f>
        <v>1060</v>
      </c>
      <c r="M36" s="142" cm="1">
        <f t="array" ref="M36">IF(ISERROR(_xlfn.XLOOKUP(M$5,'QB_Funds Analysis raw'!$B$5:$AC$5, _xlfn.XLOOKUP($A36,'QB_Funds Analysis raw'!$A$6:$A$104,'QB_Funds Analysis raw'!$B$6:$AC$104))),0,(_xlfn.XLOOKUP(M$5,'QB_Funds Analysis raw'!$B$5:$AC$5, _xlfn.XLOOKUP($A36,'QB_Funds Analysis raw'!$A$6:$A$104,'QB_Funds Analysis raw'!$B$6:$AC$104))))</f>
        <v>0</v>
      </c>
      <c r="N36" s="252" cm="1">
        <f t="array" ref="N36">IF(ISERROR(_xlfn.XLOOKUP(N$5,'QB_Funds Analysis raw'!$B$5:$AC$5, _xlfn.XLOOKUP($A36,'QB_Funds Analysis raw'!$A$6:$A$104,'QB_Funds Analysis raw'!$B$6:$AC$104))),0,(_xlfn.XLOOKUP(N$5,'QB_Funds Analysis raw'!$B$5:$AC$5, _xlfn.XLOOKUP($A36,'QB_Funds Analysis raw'!$A$6:$A$104,'QB_Funds Analysis raw'!$B$6:$AC$104))))</f>
        <v>79.5</v>
      </c>
      <c r="O36" s="252" cm="1">
        <f t="array" ref="O36">IF(ISERROR(_xlfn.XLOOKUP(O$5,'QB_Funds Analysis raw'!$B$5:$AC$5, _xlfn.XLOOKUP($A36,'QB_Funds Analysis raw'!$A$6:$A$104,'QB_Funds Analysis raw'!$B$6:$AC$104))),0,(_xlfn.XLOOKUP(O$5,'QB_Funds Analysis raw'!$B$5:$AC$5, _xlfn.XLOOKUP($A36,'QB_Funds Analysis raw'!$A$6:$A$104,'QB_Funds Analysis raw'!$B$6:$AC$104))))</f>
        <v>0</v>
      </c>
      <c r="P36" s="142" cm="1">
        <f t="array" ref="P36">IF(ISERROR(_xlfn.XLOOKUP(P$5,'QB_Funds Analysis raw'!$B$5:$AC$5, _xlfn.XLOOKUP($A36,'QB_Funds Analysis raw'!$A$6:$A$104,'QB_Funds Analysis raw'!$B$6:$AC$104))),0,(_xlfn.XLOOKUP(P$5,'QB_Funds Analysis raw'!$B$5:$AC$5, _xlfn.XLOOKUP($A36,'QB_Funds Analysis raw'!$A$6:$A$104,'QB_Funds Analysis raw'!$B$6:$AC$104))))</f>
        <v>0</v>
      </c>
      <c r="Q36" s="247" cm="1">
        <f t="array" ref="Q36">IF(ISERROR(_xlfn.XLOOKUP(Q$5,'QB_Funds Analysis raw'!$B$5:$AC$5, _xlfn.XLOOKUP($A36,'QB_Funds Analysis raw'!$A$6:$A$104,'QB_Funds Analysis raw'!$B$6:$AC$104))),0,(_xlfn.XLOOKUP(Q$5,'QB_Funds Analysis raw'!$B$5:$AC$5, _xlfn.XLOOKUP($A36,'QB_Funds Analysis raw'!$A$6:$A$104,'QB_Funds Analysis raw'!$B$6:$AC$104))))</f>
        <v>2998.59</v>
      </c>
      <c r="R36" s="142" cm="1">
        <f t="array" ref="R36">IF(ISERROR(_xlfn.XLOOKUP(R$5,'QB_Funds Analysis raw'!$B$5:$AC$5, _xlfn.XLOOKUP($A36,'QB_Funds Analysis raw'!$A$6:$A$104,'QB_Funds Analysis raw'!$B$6:$AC$104))),0,(_xlfn.XLOOKUP(R$5,'QB_Funds Analysis raw'!$B$5:$AC$5, _xlfn.XLOOKUP($A36,'QB_Funds Analysis raw'!$A$6:$A$104,'QB_Funds Analysis raw'!$B$6:$AC$104))))</f>
        <v>0</v>
      </c>
      <c r="S36" s="142" cm="1">
        <f t="array" ref="S36">IF(ISERROR(_xlfn.XLOOKUP(S$5,'QB_Funds Analysis raw'!$B$5:$AC$5, _xlfn.XLOOKUP($A36,'QB_Funds Analysis raw'!$A$6:$A$104,'QB_Funds Analysis raw'!$B$6:$AC$104))),0,(_xlfn.XLOOKUP(S$5,'QB_Funds Analysis raw'!$B$5:$AC$5, _xlfn.XLOOKUP($A36,'QB_Funds Analysis raw'!$A$6:$A$104,'QB_Funds Analysis raw'!$B$6:$AC$104))))</f>
        <v>0</v>
      </c>
      <c r="T36" s="142" cm="1">
        <f t="array" ref="T36">IF(ISERROR(_xlfn.XLOOKUP(T$5,'QB_Funds Analysis raw'!$B$5:$AC$5, _xlfn.XLOOKUP($A36,'QB_Funds Analysis raw'!$A$6:$A$104,'QB_Funds Analysis raw'!$B$6:$AC$104))),0,(_xlfn.XLOOKUP(T$5,'QB_Funds Analysis raw'!$B$5:$AC$5, _xlfn.XLOOKUP($A36,'QB_Funds Analysis raw'!$A$6:$A$104,'QB_Funds Analysis raw'!$B$6:$AC$104))))</f>
        <v>0</v>
      </c>
      <c r="U36" s="142" cm="1">
        <f t="array" ref="U36">IF(ISERROR(_xlfn.XLOOKUP(U$5,'QB_Funds Analysis raw'!$B$5:$AC$5, _xlfn.XLOOKUP($A36,'QB_Funds Analysis raw'!$A$6:$A$104,'QB_Funds Analysis raw'!$B$6:$AC$104))),0,(_xlfn.XLOOKUP(U$5,'QB_Funds Analysis raw'!$B$5:$AC$5, _xlfn.XLOOKUP($A36,'QB_Funds Analysis raw'!$A$6:$A$104,'QB_Funds Analysis raw'!$B$6:$AC$104))))</f>
        <v>0</v>
      </c>
      <c r="V36" s="142" cm="1">
        <f t="array" ref="V36">IF(ISERROR(_xlfn.XLOOKUP(V$5,'QB_Funds Analysis raw'!$B$5:$AC$5, _xlfn.XLOOKUP($A36,'QB_Funds Analysis raw'!$A$6:$A$104,'QB_Funds Analysis raw'!$B$6:$AC$104))),0,(_xlfn.XLOOKUP(V$5,'QB_Funds Analysis raw'!$B$5:$AC$5, _xlfn.XLOOKUP($A36,'QB_Funds Analysis raw'!$A$6:$A$104,'QB_Funds Analysis raw'!$B$6:$AC$104))))</f>
        <v>0</v>
      </c>
      <c r="W36" s="142" cm="1">
        <f t="array" ref="W36">IF(ISERROR(_xlfn.XLOOKUP(W$5,'QB_Funds Analysis raw'!$B$5:$AC$5, _xlfn.XLOOKUP($A36,'QB_Funds Analysis raw'!$A$6:$A$104,'QB_Funds Analysis raw'!$B$6:$AC$104))),0,(_xlfn.XLOOKUP(W$5,'QB_Funds Analysis raw'!$B$5:$AC$5, _xlfn.XLOOKUP($A36,'QB_Funds Analysis raw'!$A$6:$A$104,'QB_Funds Analysis raw'!$B$6:$AC$104))))</f>
        <v>1060</v>
      </c>
      <c r="X36" s="142" cm="1">
        <f t="array" ref="X36">IF(ISERROR(_xlfn.XLOOKUP(X$5,'QB_Funds Analysis raw'!$B$5:$AC$5, _xlfn.XLOOKUP($A36,'QB_Funds Analysis raw'!$A$6:$A$104,'QB_Funds Analysis raw'!$B$6:$AC$104))),0,(_xlfn.XLOOKUP(X$5,'QB_Funds Analysis raw'!$B$5:$AC$5, _xlfn.XLOOKUP($A36,'QB_Funds Analysis raw'!$A$6:$A$104,'QB_Funds Analysis raw'!$B$6:$AC$104))))</f>
        <v>12631.9</v>
      </c>
      <c r="Y36" s="142" cm="1">
        <f t="array" ref="Y36">IF(ISERROR(_xlfn.XLOOKUP(Y$5,'QB_Funds Analysis raw'!$B$5:$AC$5, _xlfn.XLOOKUP($A36,'QB_Funds Analysis raw'!$A$6:$A$104,'QB_Funds Analysis raw'!$B$6:$AC$104))),0,(_xlfn.XLOOKUP(Y$5,'QB_Funds Analysis raw'!$B$5:$AC$5, _xlfn.XLOOKUP($A36,'QB_Funds Analysis raw'!$A$6:$A$104,'QB_Funds Analysis raw'!$B$6:$AC$104))))</f>
        <v>0</v>
      </c>
      <c r="Z36" s="142" cm="1">
        <f t="array" ref="Z36">IF(ISERROR(_xlfn.XLOOKUP(Z$5,'QB_Funds Analysis raw'!$B$5:$AC$5, _xlfn.XLOOKUP($A36,'QB_Funds Analysis raw'!$A$6:$A$104,'QB_Funds Analysis raw'!$B$6:$AC$104))),0,(_xlfn.XLOOKUP(Z$5,'QB_Funds Analysis raw'!$B$5:$AC$5, _xlfn.XLOOKUP($A36,'QB_Funds Analysis raw'!$A$6:$A$104,'QB_Funds Analysis raw'!$B$6:$AC$104))))</f>
        <v>0</v>
      </c>
      <c r="AA36" s="142" cm="1">
        <f t="array" ref="AA36">IF(ISERROR(_xlfn.XLOOKUP(AA$5,'QB_Funds Analysis raw'!$B$5:$AC$5, _xlfn.XLOOKUP($A36,'QB_Funds Analysis raw'!$A$6:$A$104,'QB_Funds Analysis raw'!$B$6:$AC$104))),0,(_xlfn.XLOOKUP(AA$5,'QB_Funds Analysis raw'!$B$5:$AC$5, _xlfn.XLOOKUP($A36,'QB_Funds Analysis raw'!$A$6:$A$104,'QB_Funds Analysis raw'!$B$6:$AC$104))))</f>
        <v>0</v>
      </c>
      <c r="AB36" s="142" cm="1">
        <f t="array" ref="AB36">IF(ISERROR(_xlfn.XLOOKUP(AB$5,'QB_Funds Analysis raw'!$B$5:$AC$5, _xlfn.XLOOKUP($A36,'QB_Funds Analysis raw'!$A$6:$A$104,'QB_Funds Analysis raw'!$B$6:$AC$104))),0,(_xlfn.XLOOKUP(AB$5,'QB_Funds Analysis raw'!$B$5:$AC$5, _xlfn.XLOOKUP($A36,'QB_Funds Analysis raw'!$A$6:$A$104,'QB_Funds Analysis raw'!$B$6:$AC$104))))</f>
        <v>20099.77</v>
      </c>
      <c r="AC36" s="142" cm="1">
        <f t="array" ref="AC36">IF(ISERROR(_xlfn.XLOOKUP(AC$5,'QB_Funds Analysis raw'!$B$5:$AC$5, _xlfn.XLOOKUP($A36,'QB_Funds Analysis raw'!$A$6:$A$104,'QB_Funds Analysis raw'!$B$6:$AC$104))),0,(_xlfn.XLOOKUP(AC$5,'QB_Funds Analysis raw'!$B$5:$AC$5, _xlfn.XLOOKUP($A36,'QB_Funds Analysis raw'!$A$6:$A$104,'QB_Funds Analysis raw'!$B$6:$AC$104))))</f>
        <v>23098.36</v>
      </c>
      <c r="AD36" s="167">
        <f t="shared" si="0"/>
        <v>23098.36</v>
      </c>
      <c r="AE36" s="167">
        <f t="shared" si="4"/>
        <v>0</v>
      </c>
    </row>
    <row r="37" spans="1:31" ht="20.25" customHeight="1" x14ac:dyDescent="0.25">
      <c r="A37" s="2" t="s">
        <v>44</v>
      </c>
      <c r="B37" s="142" cm="1">
        <f t="array" ref="B37">IF(ISERROR(_xlfn.XLOOKUP(B$5,'QB_Funds Analysis raw'!$B$5:$AC$5, _xlfn.XLOOKUP($A37,'QB_Funds Analysis raw'!$A$6:$A$104,'QB_Funds Analysis raw'!$B$6:$AC$104))),0,(_xlfn.XLOOKUP(B$5,'QB_Funds Analysis raw'!$B$5:$AC$5, _xlfn.XLOOKUP($A37,'QB_Funds Analysis raw'!$A$6:$A$104,'QB_Funds Analysis raw'!$B$6:$AC$104))))</f>
        <v>0</v>
      </c>
      <c r="C37" s="142" cm="1">
        <f t="array" ref="C37">IF(ISERROR(_xlfn.XLOOKUP(C$5,'QB_Funds Analysis raw'!$B$5:$AC$5, _xlfn.XLOOKUP($A37,'QB_Funds Analysis raw'!$A$6:$A$104,'QB_Funds Analysis raw'!$B$6:$AC$104))),0,(_xlfn.XLOOKUP(C$5,'QB_Funds Analysis raw'!$B$5:$AC$5, _xlfn.XLOOKUP($A37,'QB_Funds Analysis raw'!$A$6:$A$104,'QB_Funds Analysis raw'!$B$6:$AC$104))))</f>
        <v>0</v>
      </c>
      <c r="D37" s="252" cm="1">
        <f t="array" ref="D37">IF(ISERROR(_xlfn.XLOOKUP(D$5,'QB_Funds Analysis raw'!$B$5:$AC$5, _xlfn.XLOOKUP($A37,'QB_Funds Analysis raw'!$A$6:$A$104,'QB_Funds Analysis raw'!$B$6:$AC$104))),0,(_xlfn.XLOOKUP(D$5,'QB_Funds Analysis raw'!$B$5:$AC$5, _xlfn.XLOOKUP($A37,'QB_Funds Analysis raw'!$A$6:$A$104,'QB_Funds Analysis raw'!$B$6:$AC$104))))</f>
        <v>0</v>
      </c>
      <c r="E37" s="142" cm="1">
        <f t="array" ref="E37">IF(ISERROR(_xlfn.XLOOKUP(E$5,'QB_Funds Analysis raw'!$B$5:$AC$5, _xlfn.XLOOKUP($A37,'QB_Funds Analysis raw'!$A$6:$A$104,'QB_Funds Analysis raw'!$B$6:$AC$104))),0,(_xlfn.XLOOKUP(E$5,'QB_Funds Analysis raw'!$B$5:$AC$5, _xlfn.XLOOKUP($A37,'QB_Funds Analysis raw'!$A$6:$A$104,'QB_Funds Analysis raw'!$B$6:$AC$104))))</f>
        <v>0</v>
      </c>
      <c r="F37" s="142" cm="1">
        <f t="array" ref="F37">IF(ISERROR(_xlfn.XLOOKUP(F$5,'QB_Funds Analysis raw'!$B$5:$AC$5, _xlfn.XLOOKUP($A37,'QB_Funds Analysis raw'!$A$6:$A$104,'QB_Funds Analysis raw'!$B$6:$AC$104))),0,(_xlfn.XLOOKUP(F$5,'QB_Funds Analysis raw'!$B$5:$AC$5, _xlfn.XLOOKUP($A37,'QB_Funds Analysis raw'!$A$6:$A$104,'QB_Funds Analysis raw'!$B$6:$AC$104))))</f>
        <v>0</v>
      </c>
      <c r="G37" s="142" cm="1">
        <f t="array" ref="G37">IF(ISERROR(_xlfn.XLOOKUP(G$5,'QB_Funds Analysis raw'!$B$5:$AC$5, _xlfn.XLOOKUP($A37,'QB_Funds Analysis raw'!$A$6:$A$104,'QB_Funds Analysis raw'!$B$6:$AC$104))),0,(_xlfn.XLOOKUP(G$5,'QB_Funds Analysis raw'!$B$5:$AC$5, _xlfn.XLOOKUP($A37,'QB_Funds Analysis raw'!$A$6:$A$104,'QB_Funds Analysis raw'!$B$6:$AC$104))))</f>
        <v>0</v>
      </c>
      <c r="H37" s="142" cm="1">
        <f t="array" ref="H37">IF(ISERROR(_xlfn.XLOOKUP(H$5,'QB_Funds Analysis raw'!$B$5:$AC$5, _xlfn.XLOOKUP($A37,'QB_Funds Analysis raw'!$A$6:$A$104,'QB_Funds Analysis raw'!$B$6:$AC$104))),0,(_xlfn.XLOOKUP(H$5,'QB_Funds Analysis raw'!$B$5:$AC$5, _xlfn.XLOOKUP($A37,'QB_Funds Analysis raw'!$A$6:$A$104,'QB_Funds Analysis raw'!$B$6:$AC$104))))</f>
        <v>0</v>
      </c>
      <c r="I37" s="142" cm="1">
        <f t="array" ref="I37">IF(ISERROR(_xlfn.XLOOKUP(I$5,'QB_Funds Analysis raw'!$B$5:$AC$5, _xlfn.XLOOKUP($A37,'QB_Funds Analysis raw'!$A$6:$A$104,'QB_Funds Analysis raw'!$B$6:$AC$104))),0,(_xlfn.XLOOKUP(I$5,'QB_Funds Analysis raw'!$B$5:$AC$5, _xlfn.XLOOKUP($A37,'QB_Funds Analysis raw'!$A$6:$A$104,'QB_Funds Analysis raw'!$B$6:$AC$104))))</f>
        <v>0</v>
      </c>
      <c r="J37" s="142" cm="1">
        <f t="array" ref="J37">IF(ISERROR(_xlfn.XLOOKUP(J$5,'QB_Funds Analysis raw'!$B$5:$AC$5, _xlfn.XLOOKUP($A37,'QB_Funds Analysis raw'!$A$6:$A$104,'QB_Funds Analysis raw'!$B$6:$AC$104))),0,(_xlfn.XLOOKUP(J$5,'QB_Funds Analysis raw'!$B$5:$AC$5, _xlfn.XLOOKUP($A37,'QB_Funds Analysis raw'!$A$6:$A$104,'QB_Funds Analysis raw'!$B$6:$AC$104))))</f>
        <v>0</v>
      </c>
      <c r="K37" s="252" cm="1">
        <f t="array" ref="K37">IF(ISERROR(_xlfn.XLOOKUP(K$5,'QB_Funds Analysis raw'!$B$5:$AC$5, _xlfn.XLOOKUP($A37,'QB_Funds Analysis raw'!$A$6:$A$104,'QB_Funds Analysis raw'!$B$6:$AC$104))),0,(_xlfn.XLOOKUP(K$5,'QB_Funds Analysis raw'!$B$5:$AC$5, _xlfn.XLOOKUP($A37,'QB_Funds Analysis raw'!$A$6:$A$104,'QB_Funds Analysis raw'!$B$6:$AC$104))))</f>
        <v>0</v>
      </c>
      <c r="L37" s="142" cm="1">
        <f t="array" ref="L37">IF(ISERROR(_xlfn.XLOOKUP(L$5,'QB_Funds Analysis raw'!$B$5:$AC$5, _xlfn.XLOOKUP($A37,'QB_Funds Analysis raw'!$A$6:$A$104,'QB_Funds Analysis raw'!$B$6:$AC$104))),0,(_xlfn.XLOOKUP(L$5,'QB_Funds Analysis raw'!$B$5:$AC$5, _xlfn.XLOOKUP($A37,'QB_Funds Analysis raw'!$A$6:$A$104,'QB_Funds Analysis raw'!$B$6:$AC$104))))</f>
        <v>0</v>
      </c>
      <c r="M37" s="142" cm="1">
        <f t="array" ref="M37">IF(ISERROR(_xlfn.XLOOKUP(M$5,'QB_Funds Analysis raw'!$B$5:$AC$5, _xlfn.XLOOKUP($A37,'QB_Funds Analysis raw'!$A$6:$A$104,'QB_Funds Analysis raw'!$B$6:$AC$104))),0,(_xlfn.XLOOKUP(M$5,'QB_Funds Analysis raw'!$B$5:$AC$5, _xlfn.XLOOKUP($A37,'QB_Funds Analysis raw'!$A$6:$A$104,'QB_Funds Analysis raw'!$B$6:$AC$104))))</f>
        <v>0</v>
      </c>
      <c r="N37" s="252" cm="1">
        <f t="array" ref="N37">IF(ISERROR(_xlfn.XLOOKUP(N$5,'QB_Funds Analysis raw'!$B$5:$AC$5, _xlfn.XLOOKUP($A37,'QB_Funds Analysis raw'!$A$6:$A$104,'QB_Funds Analysis raw'!$B$6:$AC$104))),0,(_xlfn.XLOOKUP(N$5,'QB_Funds Analysis raw'!$B$5:$AC$5, _xlfn.XLOOKUP($A37,'QB_Funds Analysis raw'!$A$6:$A$104,'QB_Funds Analysis raw'!$B$6:$AC$104))))</f>
        <v>0</v>
      </c>
      <c r="O37" s="252" cm="1">
        <f t="array" ref="O37">IF(ISERROR(_xlfn.XLOOKUP(O$5,'QB_Funds Analysis raw'!$B$5:$AC$5, _xlfn.XLOOKUP($A37,'QB_Funds Analysis raw'!$A$6:$A$104,'QB_Funds Analysis raw'!$B$6:$AC$104))),0,(_xlfn.XLOOKUP(O$5,'QB_Funds Analysis raw'!$B$5:$AC$5, _xlfn.XLOOKUP($A37,'QB_Funds Analysis raw'!$A$6:$A$104,'QB_Funds Analysis raw'!$B$6:$AC$104))))</f>
        <v>4103.5</v>
      </c>
      <c r="P37" s="142" cm="1">
        <f t="array" ref="P37">IF(ISERROR(_xlfn.XLOOKUP(P$5,'QB_Funds Analysis raw'!$B$5:$AC$5, _xlfn.XLOOKUP($A37,'QB_Funds Analysis raw'!$A$6:$A$104,'QB_Funds Analysis raw'!$B$6:$AC$104))),0,(_xlfn.XLOOKUP(P$5,'QB_Funds Analysis raw'!$B$5:$AC$5, _xlfn.XLOOKUP($A37,'QB_Funds Analysis raw'!$A$6:$A$104,'QB_Funds Analysis raw'!$B$6:$AC$104))))</f>
        <v>0</v>
      </c>
      <c r="Q37" s="247" cm="1">
        <f t="array" ref="Q37">IF(ISERROR(_xlfn.XLOOKUP(Q$5,'QB_Funds Analysis raw'!$B$5:$AC$5, _xlfn.XLOOKUP($A37,'QB_Funds Analysis raw'!$A$6:$A$104,'QB_Funds Analysis raw'!$B$6:$AC$104))),0,(_xlfn.XLOOKUP(Q$5,'QB_Funds Analysis raw'!$B$5:$AC$5, _xlfn.XLOOKUP($A37,'QB_Funds Analysis raw'!$A$6:$A$104,'QB_Funds Analysis raw'!$B$6:$AC$104))))</f>
        <v>4103.5</v>
      </c>
      <c r="R37" s="142" cm="1">
        <f t="array" ref="R37">IF(ISERROR(_xlfn.XLOOKUP(R$5,'QB_Funds Analysis raw'!$B$5:$AC$5, _xlfn.XLOOKUP($A37,'QB_Funds Analysis raw'!$A$6:$A$104,'QB_Funds Analysis raw'!$B$6:$AC$104))),0,(_xlfn.XLOOKUP(R$5,'QB_Funds Analysis raw'!$B$5:$AC$5, _xlfn.XLOOKUP($A37,'QB_Funds Analysis raw'!$A$6:$A$104,'QB_Funds Analysis raw'!$B$6:$AC$104))))</f>
        <v>0</v>
      </c>
      <c r="S37" s="142" cm="1">
        <f t="array" ref="S37">IF(ISERROR(_xlfn.XLOOKUP(S$5,'QB_Funds Analysis raw'!$B$5:$AC$5, _xlfn.XLOOKUP($A37,'QB_Funds Analysis raw'!$A$6:$A$104,'QB_Funds Analysis raw'!$B$6:$AC$104))),0,(_xlfn.XLOOKUP(S$5,'QB_Funds Analysis raw'!$B$5:$AC$5, _xlfn.XLOOKUP($A37,'QB_Funds Analysis raw'!$A$6:$A$104,'QB_Funds Analysis raw'!$B$6:$AC$104))))</f>
        <v>0</v>
      </c>
      <c r="T37" s="142" cm="1">
        <f t="array" ref="T37">IF(ISERROR(_xlfn.XLOOKUP(T$5,'QB_Funds Analysis raw'!$B$5:$AC$5, _xlfn.XLOOKUP($A37,'QB_Funds Analysis raw'!$A$6:$A$104,'QB_Funds Analysis raw'!$B$6:$AC$104))),0,(_xlfn.XLOOKUP(T$5,'QB_Funds Analysis raw'!$B$5:$AC$5, _xlfn.XLOOKUP($A37,'QB_Funds Analysis raw'!$A$6:$A$104,'QB_Funds Analysis raw'!$B$6:$AC$104))))</f>
        <v>0</v>
      </c>
      <c r="U37" s="142" cm="1">
        <f t="array" ref="U37">IF(ISERROR(_xlfn.XLOOKUP(U$5,'QB_Funds Analysis raw'!$B$5:$AC$5, _xlfn.XLOOKUP($A37,'QB_Funds Analysis raw'!$A$6:$A$104,'QB_Funds Analysis raw'!$B$6:$AC$104))),0,(_xlfn.XLOOKUP(U$5,'QB_Funds Analysis raw'!$B$5:$AC$5, _xlfn.XLOOKUP($A37,'QB_Funds Analysis raw'!$A$6:$A$104,'QB_Funds Analysis raw'!$B$6:$AC$104))))</f>
        <v>0</v>
      </c>
      <c r="V37" s="142" cm="1">
        <f t="array" ref="V37">IF(ISERROR(_xlfn.XLOOKUP(V$5,'QB_Funds Analysis raw'!$B$5:$AC$5, _xlfn.XLOOKUP($A37,'QB_Funds Analysis raw'!$A$6:$A$104,'QB_Funds Analysis raw'!$B$6:$AC$104))),0,(_xlfn.XLOOKUP(V$5,'QB_Funds Analysis raw'!$B$5:$AC$5, _xlfn.XLOOKUP($A37,'QB_Funds Analysis raw'!$A$6:$A$104,'QB_Funds Analysis raw'!$B$6:$AC$104))))</f>
        <v>0</v>
      </c>
      <c r="W37" s="142" cm="1">
        <f t="array" ref="W37">IF(ISERROR(_xlfn.XLOOKUP(W$5,'QB_Funds Analysis raw'!$B$5:$AC$5, _xlfn.XLOOKUP($A37,'QB_Funds Analysis raw'!$A$6:$A$104,'QB_Funds Analysis raw'!$B$6:$AC$104))),0,(_xlfn.XLOOKUP(W$5,'QB_Funds Analysis raw'!$B$5:$AC$5, _xlfn.XLOOKUP($A37,'QB_Funds Analysis raw'!$A$6:$A$104,'QB_Funds Analysis raw'!$B$6:$AC$104))))</f>
        <v>0</v>
      </c>
      <c r="X37" s="142" cm="1">
        <f t="array" ref="X37">IF(ISERROR(_xlfn.XLOOKUP(X$5,'QB_Funds Analysis raw'!$B$5:$AC$5, _xlfn.XLOOKUP($A37,'QB_Funds Analysis raw'!$A$6:$A$104,'QB_Funds Analysis raw'!$B$6:$AC$104))),0,(_xlfn.XLOOKUP(X$5,'QB_Funds Analysis raw'!$B$5:$AC$5, _xlfn.XLOOKUP($A37,'QB_Funds Analysis raw'!$A$6:$A$104,'QB_Funds Analysis raw'!$B$6:$AC$104))))</f>
        <v>0</v>
      </c>
      <c r="Y37" s="142" cm="1">
        <f t="array" ref="Y37">IF(ISERROR(_xlfn.XLOOKUP(Y$5,'QB_Funds Analysis raw'!$B$5:$AC$5, _xlfn.XLOOKUP($A37,'QB_Funds Analysis raw'!$A$6:$A$104,'QB_Funds Analysis raw'!$B$6:$AC$104))),0,(_xlfn.XLOOKUP(Y$5,'QB_Funds Analysis raw'!$B$5:$AC$5, _xlfn.XLOOKUP($A37,'QB_Funds Analysis raw'!$A$6:$A$104,'QB_Funds Analysis raw'!$B$6:$AC$104))))</f>
        <v>0</v>
      </c>
      <c r="Z37" s="142" cm="1">
        <f t="array" ref="Z37">IF(ISERROR(_xlfn.XLOOKUP(Z$5,'QB_Funds Analysis raw'!$B$5:$AC$5, _xlfn.XLOOKUP($A37,'QB_Funds Analysis raw'!$A$6:$A$104,'QB_Funds Analysis raw'!$B$6:$AC$104))),0,(_xlfn.XLOOKUP(Z$5,'QB_Funds Analysis raw'!$B$5:$AC$5, _xlfn.XLOOKUP($A37,'QB_Funds Analysis raw'!$A$6:$A$104,'QB_Funds Analysis raw'!$B$6:$AC$104))))</f>
        <v>0</v>
      </c>
      <c r="AA37" s="142" cm="1">
        <f t="array" ref="AA37">IF(ISERROR(_xlfn.XLOOKUP(AA$5,'QB_Funds Analysis raw'!$B$5:$AC$5, _xlfn.XLOOKUP($A37,'QB_Funds Analysis raw'!$A$6:$A$104,'QB_Funds Analysis raw'!$B$6:$AC$104))),0,(_xlfn.XLOOKUP(AA$5,'QB_Funds Analysis raw'!$B$5:$AC$5, _xlfn.XLOOKUP($A37,'QB_Funds Analysis raw'!$A$6:$A$104,'QB_Funds Analysis raw'!$B$6:$AC$104))))</f>
        <v>0</v>
      </c>
      <c r="AB37" s="142" cm="1">
        <f t="array" ref="AB37">IF(ISERROR(_xlfn.XLOOKUP(AB$5,'QB_Funds Analysis raw'!$B$5:$AC$5, _xlfn.XLOOKUP($A37,'QB_Funds Analysis raw'!$A$6:$A$104,'QB_Funds Analysis raw'!$B$6:$AC$104))),0,(_xlfn.XLOOKUP(AB$5,'QB_Funds Analysis raw'!$B$5:$AC$5, _xlfn.XLOOKUP($A37,'QB_Funds Analysis raw'!$A$6:$A$104,'QB_Funds Analysis raw'!$B$6:$AC$104))))</f>
        <v>1822.5</v>
      </c>
      <c r="AC37" s="142" cm="1">
        <f t="array" ref="AC37">IF(ISERROR(_xlfn.XLOOKUP(AC$5,'QB_Funds Analysis raw'!$B$5:$AC$5, _xlfn.XLOOKUP($A37,'QB_Funds Analysis raw'!$A$6:$A$104,'QB_Funds Analysis raw'!$B$6:$AC$104))),0,(_xlfn.XLOOKUP(AC$5,'QB_Funds Analysis raw'!$B$5:$AC$5, _xlfn.XLOOKUP($A37,'QB_Funds Analysis raw'!$A$6:$A$104,'QB_Funds Analysis raw'!$B$6:$AC$104))))</f>
        <v>5926</v>
      </c>
      <c r="AD37" s="167">
        <f t="shared" si="0"/>
        <v>5926</v>
      </c>
      <c r="AE37" s="167">
        <f t="shared" si="4"/>
        <v>0</v>
      </c>
    </row>
    <row r="38" spans="1:31" ht="20.25" customHeight="1" x14ac:dyDescent="0.25">
      <c r="A38" s="2" t="s">
        <v>45</v>
      </c>
      <c r="B38" s="142" cm="1">
        <f t="array" ref="B38">IF(ISERROR(_xlfn.XLOOKUP(B$5,'QB_Funds Analysis raw'!$B$5:$AC$5, _xlfn.XLOOKUP($A38,'QB_Funds Analysis raw'!$A$6:$A$104,'QB_Funds Analysis raw'!$B$6:$AC$104))),0,(_xlfn.XLOOKUP(B$5,'QB_Funds Analysis raw'!$B$5:$AC$5, _xlfn.XLOOKUP($A38,'QB_Funds Analysis raw'!$A$6:$A$104,'QB_Funds Analysis raw'!$B$6:$AC$104))))</f>
        <v>0</v>
      </c>
      <c r="C38" s="142" cm="1">
        <f t="array" ref="C38">IF(ISERROR(_xlfn.XLOOKUP(C$5,'QB_Funds Analysis raw'!$B$5:$AC$5, _xlfn.XLOOKUP($A38,'QB_Funds Analysis raw'!$A$6:$A$104,'QB_Funds Analysis raw'!$B$6:$AC$104))),0,(_xlfn.XLOOKUP(C$5,'QB_Funds Analysis raw'!$B$5:$AC$5, _xlfn.XLOOKUP($A38,'QB_Funds Analysis raw'!$A$6:$A$104,'QB_Funds Analysis raw'!$B$6:$AC$104))))</f>
        <v>0</v>
      </c>
      <c r="D38" s="252" cm="1">
        <f t="array" ref="D38">IF(ISERROR(_xlfn.XLOOKUP(D$5,'QB_Funds Analysis raw'!$B$5:$AC$5, _xlfn.XLOOKUP($A38,'QB_Funds Analysis raw'!$A$6:$A$104,'QB_Funds Analysis raw'!$B$6:$AC$104))),0,(_xlfn.XLOOKUP(D$5,'QB_Funds Analysis raw'!$B$5:$AC$5, _xlfn.XLOOKUP($A38,'QB_Funds Analysis raw'!$A$6:$A$104,'QB_Funds Analysis raw'!$B$6:$AC$104))))</f>
        <v>0</v>
      </c>
      <c r="E38" s="142" cm="1">
        <f t="array" ref="E38">IF(ISERROR(_xlfn.XLOOKUP(E$5,'QB_Funds Analysis raw'!$B$5:$AC$5, _xlfn.XLOOKUP($A38,'QB_Funds Analysis raw'!$A$6:$A$104,'QB_Funds Analysis raw'!$B$6:$AC$104))),0,(_xlfn.XLOOKUP(E$5,'QB_Funds Analysis raw'!$B$5:$AC$5, _xlfn.XLOOKUP($A38,'QB_Funds Analysis raw'!$A$6:$A$104,'QB_Funds Analysis raw'!$B$6:$AC$104))))</f>
        <v>0</v>
      </c>
      <c r="F38" s="142" cm="1">
        <f t="array" ref="F38">IF(ISERROR(_xlfn.XLOOKUP(F$5,'QB_Funds Analysis raw'!$B$5:$AC$5, _xlfn.XLOOKUP($A38,'QB_Funds Analysis raw'!$A$6:$A$104,'QB_Funds Analysis raw'!$B$6:$AC$104))),0,(_xlfn.XLOOKUP(F$5,'QB_Funds Analysis raw'!$B$5:$AC$5, _xlfn.XLOOKUP($A38,'QB_Funds Analysis raw'!$A$6:$A$104,'QB_Funds Analysis raw'!$B$6:$AC$104))))</f>
        <v>0</v>
      </c>
      <c r="G38" s="142" cm="1">
        <f t="array" ref="G38">IF(ISERROR(_xlfn.XLOOKUP(G$5,'QB_Funds Analysis raw'!$B$5:$AC$5, _xlfn.XLOOKUP($A38,'QB_Funds Analysis raw'!$A$6:$A$104,'QB_Funds Analysis raw'!$B$6:$AC$104))),0,(_xlfn.XLOOKUP(G$5,'QB_Funds Analysis raw'!$B$5:$AC$5, _xlfn.XLOOKUP($A38,'QB_Funds Analysis raw'!$A$6:$A$104,'QB_Funds Analysis raw'!$B$6:$AC$104))))</f>
        <v>0</v>
      </c>
      <c r="H38" s="142" cm="1">
        <f t="array" ref="H38">IF(ISERROR(_xlfn.XLOOKUP(H$5,'QB_Funds Analysis raw'!$B$5:$AC$5, _xlfn.XLOOKUP($A38,'QB_Funds Analysis raw'!$A$6:$A$104,'QB_Funds Analysis raw'!$B$6:$AC$104))),0,(_xlfn.XLOOKUP(H$5,'QB_Funds Analysis raw'!$B$5:$AC$5, _xlfn.XLOOKUP($A38,'QB_Funds Analysis raw'!$A$6:$A$104,'QB_Funds Analysis raw'!$B$6:$AC$104))))</f>
        <v>0</v>
      </c>
      <c r="I38" s="142" cm="1">
        <f t="array" ref="I38">IF(ISERROR(_xlfn.XLOOKUP(I$5,'QB_Funds Analysis raw'!$B$5:$AC$5, _xlfn.XLOOKUP($A38,'QB_Funds Analysis raw'!$A$6:$A$104,'QB_Funds Analysis raw'!$B$6:$AC$104))),0,(_xlfn.XLOOKUP(I$5,'QB_Funds Analysis raw'!$B$5:$AC$5, _xlfn.XLOOKUP($A38,'QB_Funds Analysis raw'!$A$6:$A$104,'QB_Funds Analysis raw'!$B$6:$AC$104))))</f>
        <v>0</v>
      </c>
      <c r="J38" s="142" cm="1">
        <f t="array" ref="J38">IF(ISERROR(_xlfn.XLOOKUP(J$5,'QB_Funds Analysis raw'!$B$5:$AC$5, _xlfn.XLOOKUP($A38,'QB_Funds Analysis raw'!$A$6:$A$104,'QB_Funds Analysis raw'!$B$6:$AC$104))),0,(_xlfn.XLOOKUP(J$5,'QB_Funds Analysis raw'!$B$5:$AC$5, _xlfn.XLOOKUP($A38,'QB_Funds Analysis raw'!$A$6:$A$104,'QB_Funds Analysis raw'!$B$6:$AC$104))))</f>
        <v>0</v>
      </c>
      <c r="K38" s="252" cm="1">
        <f t="array" ref="K38">IF(ISERROR(_xlfn.XLOOKUP(K$5,'QB_Funds Analysis raw'!$B$5:$AC$5, _xlfn.XLOOKUP($A38,'QB_Funds Analysis raw'!$A$6:$A$104,'QB_Funds Analysis raw'!$B$6:$AC$104))),0,(_xlfn.XLOOKUP(K$5,'QB_Funds Analysis raw'!$B$5:$AC$5, _xlfn.XLOOKUP($A38,'QB_Funds Analysis raw'!$A$6:$A$104,'QB_Funds Analysis raw'!$B$6:$AC$104))))</f>
        <v>0</v>
      </c>
      <c r="L38" s="142" cm="1">
        <f t="array" ref="L38">IF(ISERROR(_xlfn.XLOOKUP(L$5,'QB_Funds Analysis raw'!$B$5:$AC$5, _xlfn.XLOOKUP($A38,'QB_Funds Analysis raw'!$A$6:$A$104,'QB_Funds Analysis raw'!$B$6:$AC$104))),0,(_xlfn.XLOOKUP(L$5,'QB_Funds Analysis raw'!$B$5:$AC$5, _xlfn.XLOOKUP($A38,'QB_Funds Analysis raw'!$A$6:$A$104,'QB_Funds Analysis raw'!$B$6:$AC$104))))</f>
        <v>0</v>
      </c>
      <c r="M38" s="142" cm="1">
        <f t="array" ref="M38">IF(ISERROR(_xlfn.XLOOKUP(M$5,'QB_Funds Analysis raw'!$B$5:$AC$5, _xlfn.XLOOKUP($A38,'QB_Funds Analysis raw'!$A$6:$A$104,'QB_Funds Analysis raw'!$B$6:$AC$104))),0,(_xlfn.XLOOKUP(M$5,'QB_Funds Analysis raw'!$B$5:$AC$5, _xlfn.XLOOKUP($A38,'QB_Funds Analysis raw'!$A$6:$A$104,'QB_Funds Analysis raw'!$B$6:$AC$104))))</f>
        <v>0</v>
      </c>
      <c r="N38" s="252" cm="1">
        <f t="array" ref="N38">IF(ISERROR(_xlfn.XLOOKUP(N$5,'QB_Funds Analysis raw'!$B$5:$AC$5, _xlfn.XLOOKUP($A38,'QB_Funds Analysis raw'!$A$6:$A$104,'QB_Funds Analysis raw'!$B$6:$AC$104))),0,(_xlfn.XLOOKUP(N$5,'QB_Funds Analysis raw'!$B$5:$AC$5, _xlfn.XLOOKUP($A38,'QB_Funds Analysis raw'!$A$6:$A$104,'QB_Funds Analysis raw'!$B$6:$AC$104))))</f>
        <v>0</v>
      </c>
      <c r="O38" s="252" cm="1">
        <f t="array" ref="O38">IF(ISERROR(_xlfn.XLOOKUP(O$5,'QB_Funds Analysis raw'!$B$5:$AC$5, _xlfn.XLOOKUP($A38,'QB_Funds Analysis raw'!$A$6:$A$104,'QB_Funds Analysis raw'!$B$6:$AC$104))),0,(_xlfn.XLOOKUP(O$5,'QB_Funds Analysis raw'!$B$5:$AC$5, _xlfn.XLOOKUP($A38,'QB_Funds Analysis raw'!$A$6:$A$104,'QB_Funds Analysis raw'!$B$6:$AC$104))))</f>
        <v>0</v>
      </c>
      <c r="P38" s="142" cm="1">
        <f t="array" ref="P38">IF(ISERROR(_xlfn.XLOOKUP(P$5,'QB_Funds Analysis raw'!$B$5:$AC$5, _xlfn.XLOOKUP($A38,'QB_Funds Analysis raw'!$A$6:$A$104,'QB_Funds Analysis raw'!$B$6:$AC$104))),0,(_xlfn.XLOOKUP(P$5,'QB_Funds Analysis raw'!$B$5:$AC$5, _xlfn.XLOOKUP($A38,'QB_Funds Analysis raw'!$A$6:$A$104,'QB_Funds Analysis raw'!$B$6:$AC$104))))</f>
        <v>0</v>
      </c>
      <c r="Q38" s="247" cm="1">
        <f t="array" ref="Q38">IF(ISERROR(_xlfn.XLOOKUP(Q$5,'QB_Funds Analysis raw'!$B$5:$AC$5, _xlfn.XLOOKUP($A38,'QB_Funds Analysis raw'!$A$6:$A$104,'QB_Funds Analysis raw'!$B$6:$AC$104))),0,(_xlfn.XLOOKUP(Q$5,'QB_Funds Analysis raw'!$B$5:$AC$5, _xlfn.XLOOKUP($A38,'QB_Funds Analysis raw'!$A$6:$A$104,'QB_Funds Analysis raw'!$B$6:$AC$104))))</f>
        <v>0</v>
      </c>
      <c r="R38" s="142" cm="1">
        <f t="array" ref="R38">IF(ISERROR(_xlfn.XLOOKUP(R$5,'QB_Funds Analysis raw'!$B$5:$AC$5, _xlfn.XLOOKUP($A38,'QB_Funds Analysis raw'!$A$6:$A$104,'QB_Funds Analysis raw'!$B$6:$AC$104))),0,(_xlfn.XLOOKUP(R$5,'QB_Funds Analysis raw'!$B$5:$AC$5, _xlfn.XLOOKUP($A38,'QB_Funds Analysis raw'!$A$6:$A$104,'QB_Funds Analysis raw'!$B$6:$AC$104))))</f>
        <v>0</v>
      </c>
      <c r="S38" s="142" cm="1">
        <f t="array" ref="S38">IF(ISERROR(_xlfn.XLOOKUP(S$5,'QB_Funds Analysis raw'!$B$5:$AC$5, _xlfn.XLOOKUP($A38,'QB_Funds Analysis raw'!$A$6:$A$104,'QB_Funds Analysis raw'!$B$6:$AC$104))),0,(_xlfn.XLOOKUP(S$5,'QB_Funds Analysis raw'!$B$5:$AC$5, _xlfn.XLOOKUP($A38,'QB_Funds Analysis raw'!$A$6:$A$104,'QB_Funds Analysis raw'!$B$6:$AC$104))))</f>
        <v>0</v>
      </c>
      <c r="T38" s="142" cm="1">
        <f t="array" ref="T38">IF(ISERROR(_xlfn.XLOOKUP(T$5,'QB_Funds Analysis raw'!$B$5:$AC$5, _xlfn.XLOOKUP($A38,'QB_Funds Analysis raw'!$A$6:$A$104,'QB_Funds Analysis raw'!$B$6:$AC$104))),0,(_xlfn.XLOOKUP(T$5,'QB_Funds Analysis raw'!$B$5:$AC$5, _xlfn.XLOOKUP($A38,'QB_Funds Analysis raw'!$A$6:$A$104,'QB_Funds Analysis raw'!$B$6:$AC$104))))</f>
        <v>0</v>
      </c>
      <c r="U38" s="142" cm="1">
        <f t="array" ref="U38">IF(ISERROR(_xlfn.XLOOKUP(U$5,'QB_Funds Analysis raw'!$B$5:$AC$5, _xlfn.XLOOKUP($A38,'QB_Funds Analysis raw'!$A$6:$A$104,'QB_Funds Analysis raw'!$B$6:$AC$104))),0,(_xlfn.XLOOKUP(U$5,'QB_Funds Analysis raw'!$B$5:$AC$5, _xlfn.XLOOKUP($A38,'QB_Funds Analysis raw'!$A$6:$A$104,'QB_Funds Analysis raw'!$B$6:$AC$104))))</f>
        <v>0</v>
      </c>
      <c r="V38" s="142" cm="1">
        <f t="array" ref="V38">IF(ISERROR(_xlfn.XLOOKUP(V$5,'QB_Funds Analysis raw'!$B$5:$AC$5, _xlfn.XLOOKUP($A38,'QB_Funds Analysis raw'!$A$6:$A$104,'QB_Funds Analysis raw'!$B$6:$AC$104))),0,(_xlfn.XLOOKUP(V$5,'QB_Funds Analysis raw'!$B$5:$AC$5, _xlfn.XLOOKUP($A38,'QB_Funds Analysis raw'!$A$6:$A$104,'QB_Funds Analysis raw'!$B$6:$AC$104))))</f>
        <v>0</v>
      </c>
      <c r="W38" s="142" cm="1">
        <f t="array" ref="W38">IF(ISERROR(_xlfn.XLOOKUP(W$5,'QB_Funds Analysis raw'!$B$5:$AC$5, _xlfn.XLOOKUP($A38,'QB_Funds Analysis raw'!$A$6:$A$104,'QB_Funds Analysis raw'!$B$6:$AC$104))),0,(_xlfn.XLOOKUP(W$5,'QB_Funds Analysis raw'!$B$5:$AC$5, _xlfn.XLOOKUP($A38,'QB_Funds Analysis raw'!$A$6:$A$104,'QB_Funds Analysis raw'!$B$6:$AC$104))))</f>
        <v>0</v>
      </c>
      <c r="X38" s="142" cm="1">
        <f t="array" ref="X38">IF(ISERROR(_xlfn.XLOOKUP(X$5,'QB_Funds Analysis raw'!$B$5:$AC$5, _xlfn.XLOOKUP($A38,'QB_Funds Analysis raw'!$A$6:$A$104,'QB_Funds Analysis raw'!$B$6:$AC$104))),0,(_xlfn.XLOOKUP(X$5,'QB_Funds Analysis raw'!$B$5:$AC$5, _xlfn.XLOOKUP($A38,'QB_Funds Analysis raw'!$A$6:$A$104,'QB_Funds Analysis raw'!$B$6:$AC$104))))</f>
        <v>0</v>
      </c>
      <c r="Y38" s="142" cm="1">
        <f t="array" ref="Y38">IF(ISERROR(_xlfn.XLOOKUP(Y$5,'QB_Funds Analysis raw'!$B$5:$AC$5, _xlfn.XLOOKUP($A38,'QB_Funds Analysis raw'!$A$6:$A$104,'QB_Funds Analysis raw'!$B$6:$AC$104))),0,(_xlfn.XLOOKUP(Y$5,'QB_Funds Analysis raw'!$B$5:$AC$5, _xlfn.XLOOKUP($A38,'QB_Funds Analysis raw'!$A$6:$A$104,'QB_Funds Analysis raw'!$B$6:$AC$104))))</f>
        <v>0</v>
      </c>
      <c r="Z38" s="142" cm="1">
        <f t="array" ref="Z38">IF(ISERROR(_xlfn.XLOOKUP(Z$5,'QB_Funds Analysis raw'!$B$5:$AC$5, _xlfn.XLOOKUP($A38,'QB_Funds Analysis raw'!$A$6:$A$104,'QB_Funds Analysis raw'!$B$6:$AC$104))),0,(_xlfn.XLOOKUP(Z$5,'QB_Funds Analysis raw'!$B$5:$AC$5, _xlfn.XLOOKUP($A38,'QB_Funds Analysis raw'!$A$6:$A$104,'QB_Funds Analysis raw'!$B$6:$AC$104))))</f>
        <v>0</v>
      </c>
      <c r="AA38" s="142" cm="1">
        <f t="array" ref="AA38">IF(ISERROR(_xlfn.XLOOKUP(AA$5,'QB_Funds Analysis raw'!$B$5:$AC$5, _xlfn.XLOOKUP($A38,'QB_Funds Analysis raw'!$A$6:$A$104,'QB_Funds Analysis raw'!$B$6:$AC$104))),0,(_xlfn.XLOOKUP(AA$5,'QB_Funds Analysis raw'!$B$5:$AC$5, _xlfn.XLOOKUP($A38,'QB_Funds Analysis raw'!$A$6:$A$104,'QB_Funds Analysis raw'!$B$6:$AC$104))))</f>
        <v>0</v>
      </c>
      <c r="AB38" s="142" cm="1">
        <f t="array" ref="AB38">IF(ISERROR(_xlfn.XLOOKUP(AB$5,'QB_Funds Analysis raw'!$B$5:$AC$5, _xlfn.XLOOKUP($A38,'QB_Funds Analysis raw'!$A$6:$A$104,'QB_Funds Analysis raw'!$B$6:$AC$104))),0,(_xlfn.XLOOKUP(AB$5,'QB_Funds Analysis raw'!$B$5:$AC$5, _xlfn.XLOOKUP($A38,'QB_Funds Analysis raw'!$A$6:$A$104,'QB_Funds Analysis raw'!$B$6:$AC$104))))</f>
        <v>0</v>
      </c>
      <c r="AC38" s="142" cm="1">
        <f t="array" ref="AC38">IF(ISERROR(_xlfn.XLOOKUP(AC$5,'QB_Funds Analysis raw'!$B$5:$AC$5, _xlfn.XLOOKUP($A38,'QB_Funds Analysis raw'!$A$6:$A$104,'QB_Funds Analysis raw'!$B$6:$AC$104))),0,(_xlfn.XLOOKUP(AC$5,'QB_Funds Analysis raw'!$B$5:$AC$5, _xlfn.XLOOKUP($A38,'QB_Funds Analysis raw'!$A$6:$A$104,'QB_Funds Analysis raw'!$B$6:$AC$104))))</f>
        <v>0</v>
      </c>
      <c r="AD38" s="167">
        <f t="shared" ref="AD38:AD101" si="13">AB38+Q38</f>
        <v>0</v>
      </c>
      <c r="AE38" s="167">
        <f t="shared" si="4"/>
        <v>0</v>
      </c>
    </row>
    <row r="39" spans="1:31" ht="20.25" customHeight="1" x14ac:dyDescent="0.25">
      <c r="A39" s="2" t="s">
        <v>361</v>
      </c>
      <c r="B39" s="142" cm="1">
        <f t="array" ref="B39">IF(ISERROR(_xlfn.XLOOKUP(B$5,'QB_Funds Analysis raw'!$B$5:$AC$5, _xlfn.XLOOKUP($A39,'QB_Funds Analysis raw'!$A$6:$A$104,'QB_Funds Analysis raw'!$B$6:$AC$104))),0,(_xlfn.XLOOKUP(B$5,'QB_Funds Analysis raw'!$B$5:$AC$5, _xlfn.XLOOKUP($A39,'QB_Funds Analysis raw'!$A$6:$A$104,'QB_Funds Analysis raw'!$B$6:$AC$104))))</f>
        <v>0</v>
      </c>
      <c r="C39" s="142" cm="1">
        <f t="array" ref="C39">IF(ISERROR(_xlfn.XLOOKUP(C$5,'QB_Funds Analysis raw'!$B$5:$AC$5, _xlfn.XLOOKUP($A39,'QB_Funds Analysis raw'!$A$6:$A$104,'QB_Funds Analysis raw'!$B$6:$AC$104))),0,(_xlfn.XLOOKUP(C$5,'QB_Funds Analysis raw'!$B$5:$AC$5, _xlfn.XLOOKUP($A39,'QB_Funds Analysis raw'!$A$6:$A$104,'QB_Funds Analysis raw'!$B$6:$AC$104))))</f>
        <v>0</v>
      </c>
      <c r="D39" s="252" cm="1">
        <f t="array" ref="D39">IF(ISERROR(_xlfn.XLOOKUP(D$5,'QB_Funds Analysis raw'!$B$5:$AC$5, _xlfn.XLOOKUP($A39,'QB_Funds Analysis raw'!$A$6:$A$104,'QB_Funds Analysis raw'!$B$6:$AC$104))),0,(_xlfn.XLOOKUP(D$5,'QB_Funds Analysis raw'!$B$5:$AC$5, _xlfn.XLOOKUP($A39,'QB_Funds Analysis raw'!$A$6:$A$104,'QB_Funds Analysis raw'!$B$6:$AC$104))))</f>
        <v>0</v>
      </c>
      <c r="E39" s="142" cm="1">
        <f t="array" ref="E39">IF(ISERROR(_xlfn.XLOOKUP(E$5,'QB_Funds Analysis raw'!$B$5:$AC$5, _xlfn.XLOOKUP($A39,'QB_Funds Analysis raw'!$A$6:$A$104,'QB_Funds Analysis raw'!$B$6:$AC$104))),0,(_xlfn.XLOOKUP(E$5,'QB_Funds Analysis raw'!$B$5:$AC$5, _xlfn.XLOOKUP($A39,'QB_Funds Analysis raw'!$A$6:$A$104,'QB_Funds Analysis raw'!$B$6:$AC$104))))</f>
        <v>0</v>
      </c>
      <c r="F39" s="142" cm="1">
        <f t="array" ref="F39">IF(ISERROR(_xlfn.XLOOKUP(F$5,'QB_Funds Analysis raw'!$B$5:$AC$5, _xlfn.XLOOKUP($A39,'QB_Funds Analysis raw'!$A$6:$A$104,'QB_Funds Analysis raw'!$B$6:$AC$104))),0,(_xlfn.XLOOKUP(F$5,'QB_Funds Analysis raw'!$B$5:$AC$5, _xlfn.XLOOKUP($A39,'QB_Funds Analysis raw'!$A$6:$A$104,'QB_Funds Analysis raw'!$B$6:$AC$104))))</f>
        <v>0</v>
      </c>
      <c r="G39" s="142" cm="1">
        <f t="array" ref="G39">IF(ISERROR(_xlfn.XLOOKUP(G$5,'QB_Funds Analysis raw'!$B$5:$AC$5, _xlfn.XLOOKUP($A39,'QB_Funds Analysis raw'!$A$6:$A$104,'QB_Funds Analysis raw'!$B$6:$AC$104))),0,(_xlfn.XLOOKUP(G$5,'QB_Funds Analysis raw'!$B$5:$AC$5, _xlfn.XLOOKUP($A39,'QB_Funds Analysis raw'!$A$6:$A$104,'QB_Funds Analysis raw'!$B$6:$AC$104))))</f>
        <v>0</v>
      </c>
      <c r="H39" s="142" cm="1">
        <f t="array" ref="H39">IF(ISERROR(_xlfn.XLOOKUP(H$5,'QB_Funds Analysis raw'!$B$5:$AC$5, _xlfn.XLOOKUP($A39,'QB_Funds Analysis raw'!$A$6:$A$104,'QB_Funds Analysis raw'!$B$6:$AC$104))),0,(_xlfn.XLOOKUP(H$5,'QB_Funds Analysis raw'!$B$5:$AC$5, _xlfn.XLOOKUP($A39,'QB_Funds Analysis raw'!$A$6:$A$104,'QB_Funds Analysis raw'!$B$6:$AC$104))))</f>
        <v>0</v>
      </c>
      <c r="I39" s="142" cm="1">
        <f t="array" ref="I39">IF(ISERROR(_xlfn.XLOOKUP(I$5,'QB_Funds Analysis raw'!$B$5:$AC$5, _xlfn.XLOOKUP($A39,'QB_Funds Analysis raw'!$A$6:$A$104,'QB_Funds Analysis raw'!$B$6:$AC$104))),0,(_xlfn.XLOOKUP(I$5,'QB_Funds Analysis raw'!$B$5:$AC$5, _xlfn.XLOOKUP($A39,'QB_Funds Analysis raw'!$A$6:$A$104,'QB_Funds Analysis raw'!$B$6:$AC$104))))</f>
        <v>0</v>
      </c>
      <c r="J39" s="142" cm="1">
        <f t="array" ref="J39">IF(ISERROR(_xlfn.XLOOKUP(J$5,'QB_Funds Analysis raw'!$B$5:$AC$5, _xlfn.XLOOKUP($A39,'QB_Funds Analysis raw'!$A$6:$A$104,'QB_Funds Analysis raw'!$B$6:$AC$104))),0,(_xlfn.XLOOKUP(J$5,'QB_Funds Analysis raw'!$B$5:$AC$5, _xlfn.XLOOKUP($A39,'QB_Funds Analysis raw'!$A$6:$A$104,'QB_Funds Analysis raw'!$B$6:$AC$104))))</f>
        <v>0</v>
      </c>
      <c r="K39" s="252" cm="1">
        <f t="array" ref="K39">IF(ISERROR(_xlfn.XLOOKUP(K$5,'QB_Funds Analysis raw'!$B$5:$AC$5, _xlfn.XLOOKUP($A39,'QB_Funds Analysis raw'!$A$6:$A$104,'QB_Funds Analysis raw'!$B$6:$AC$104))),0,(_xlfn.XLOOKUP(K$5,'QB_Funds Analysis raw'!$B$5:$AC$5, _xlfn.XLOOKUP($A39,'QB_Funds Analysis raw'!$A$6:$A$104,'QB_Funds Analysis raw'!$B$6:$AC$104))))</f>
        <v>0</v>
      </c>
      <c r="L39" s="142" cm="1">
        <f t="array" ref="L39">IF(ISERROR(_xlfn.XLOOKUP(L$5,'QB_Funds Analysis raw'!$B$5:$AC$5, _xlfn.XLOOKUP($A39,'QB_Funds Analysis raw'!$A$6:$A$104,'QB_Funds Analysis raw'!$B$6:$AC$104))),0,(_xlfn.XLOOKUP(L$5,'QB_Funds Analysis raw'!$B$5:$AC$5, _xlfn.XLOOKUP($A39,'QB_Funds Analysis raw'!$A$6:$A$104,'QB_Funds Analysis raw'!$B$6:$AC$104))))</f>
        <v>0</v>
      </c>
      <c r="M39" s="142" cm="1">
        <f t="array" ref="M39">IF(ISERROR(_xlfn.XLOOKUP(M$5,'QB_Funds Analysis raw'!$B$5:$AC$5, _xlfn.XLOOKUP($A39,'QB_Funds Analysis raw'!$A$6:$A$104,'QB_Funds Analysis raw'!$B$6:$AC$104))),0,(_xlfn.XLOOKUP(M$5,'QB_Funds Analysis raw'!$B$5:$AC$5, _xlfn.XLOOKUP($A39,'QB_Funds Analysis raw'!$A$6:$A$104,'QB_Funds Analysis raw'!$B$6:$AC$104))))</f>
        <v>0</v>
      </c>
      <c r="N39" s="252" cm="1">
        <f t="array" ref="N39">IF(ISERROR(_xlfn.XLOOKUP(N$5,'QB_Funds Analysis raw'!$B$5:$AC$5, _xlfn.XLOOKUP($A39,'QB_Funds Analysis raw'!$A$6:$A$104,'QB_Funds Analysis raw'!$B$6:$AC$104))),0,(_xlfn.XLOOKUP(N$5,'QB_Funds Analysis raw'!$B$5:$AC$5, _xlfn.XLOOKUP($A39,'QB_Funds Analysis raw'!$A$6:$A$104,'QB_Funds Analysis raw'!$B$6:$AC$104))))</f>
        <v>0</v>
      </c>
      <c r="O39" s="252" cm="1">
        <f t="array" ref="O39">IF(ISERROR(_xlfn.XLOOKUP(O$5,'QB_Funds Analysis raw'!$B$5:$AC$5, _xlfn.XLOOKUP($A39,'QB_Funds Analysis raw'!$A$6:$A$104,'QB_Funds Analysis raw'!$B$6:$AC$104))),0,(_xlfn.XLOOKUP(O$5,'QB_Funds Analysis raw'!$B$5:$AC$5, _xlfn.XLOOKUP($A39,'QB_Funds Analysis raw'!$A$6:$A$104,'QB_Funds Analysis raw'!$B$6:$AC$104))))</f>
        <v>0</v>
      </c>
      <c r="P39" s="142" cm="1">
        <f t="array" ref="P39">IF(ISERROR(_xlfn.XLOOKUP(P$5,'QB_Funds Analysis raw'!$B$5:$AC$5, _xlfn.XLOOKUP($A39,'QB_Funds Analysis raw'!$A$6:$A$104,'QB_Funds Analysis raw'!$B$6:$AC$104))),0,(_xlfn.XLOOKUP(P$5,'QB_Funds Analysis raw'!$B$5:$AC$5, _xlfn.XLOOKUP($A39,'QB_Funds Analysis raw'!$A$6:$A$104,'QB_Funds Analysis raw'!$B$6:$AC$104))))</f>
        <v>0</v>
      </c>
      <c r="Q39" s="247" cm="1">
        <f t="array" ref="Q39">IF(ISERROR(_xlfn.XLOOKUP(Q$5,'QB_Funds Analysis raw'!$B$5:$AC$5, _xlfn.XLOOKUP($A39,'QB_Funds Analysis raw'!$A$6:$A$104,'QB_Funds Analysis raw'!$B$6:$AC$104))),0,(_xlfn.XLOOKUP(Q$5,'QB_Funds Analysis raw'!$B$5:$AC$5, _xlfn.XLOOKUP($A39,'QB_Funds Analysis raw'!$A$6:$A$104,'QB_Funds Analysis raw'!$B$6:$AC$104))))</f>
        <v>0</v>
      </c>
      <c r="R39" s="142" cm="1">
        <f t="array" ref="R39">IF(ISERROR(_xlfn.XLOOKUP(R$5,'QB_Funds Analysis raw'!$B$5:$AC$5, _xlfn.XLOOKUP($A39,'QB_Funds Analysis raw'!$A$6:$A$104,'QB_Funds Analysis raw'!$B$6:$AC$104))),0,(_xlfn.XLOOKUP(R$5,'QB_Funds Analysis raw'!$B$5:$AC$5, _xlfn.XLOOKUP($A39,'QB_Funds Analysis raw'!$A$6:$A$104,'QB_Funds Analysis raw'!$B$6:$AC$104))))</f>
        <v>0</v>
      </c>
      <c r="S39" s="142" cm="1">
        <f t="array" ref="S39">IF(ISERROR(_xlfn.XLOOKUP(S$5,'QB_Funds Analysis raw'!$B$5:$AC$5, _xlfn.XLOOKUP($A39,'QB_Funds Analysis raw'!$A$6:$A$104,'QB_Funds Analysis raw'!$B$6:$AC$104))),0,(_xlfn.XLOOKUP(S$5,'QB_Funds Analysis raw'!$B$5:$AC$5, _xlfn.XLOOKUP($A39,'QB_Funds Analysis raw'!$A$6:$A$104,'QB_Funds Analysis raw'!$B$6:$AC$104))))</f>
        <v>0</v>
      </c>
      <c r="T39" s="142" cm="1">
        <f t="array" ref="T39">IF(ISERROR(_xlfn.XLOOKUP(T$5,'QB_Funds Analysis raw'!$B$5:$AC$5, _xlfn.XLOOKUP($A39,'QB_Funds Analysis raw'!$A$6:$A$104,'QB_Funds Analysis raw'!$B$6:$AC$104))),0,(_xlfn.XLOOKUP(T$5,'QB_Funds Analysis raw'!$B$5:$AC$5, _xlfn.XLOOKUP($A39,'QB_Funds Analysis raw'!$A$6:$A$104,'QB_Funds Analysis raw'!$B$6:$AC$104))))</f>
        <v>0</v>
      </c>
      <c r="U39" s="142" cm="1">
        <f t="array" ref="U39">IF(ISERROR(_xlfn.XLOOKUP(U$5,'QB_Funds Analysis raw'!$B$5:$AC$5, _xlfn.XLOOKUP($A39,'QB_Funds Analysis raw'!$A$6:$A$104,'QB_Funds Analysis raw'!$B$6:$AC$104))),0,(_xlfn.XLOOKUP(U$5,'QB_Funds Analysis raw'!$B$5:$AC$5, _xlfn.XLOOKUP($A39,'QB_Funds Analysis raw'!$A$6:$A$104,'QB_Funds Analysis raw'!$B$6:$AC$104))))</f>
        <v>0</v>
      </c>
      <c r="V39" s="142" cm="1">
        <f t="array" ref="V39">IF(ISERROR(_xlfn.XLOOKUP(V$5,'QB_Funds Analysis raw'!$B$5:$AC$5, _xlfn.XLOOKUP($A39,'QB_Funds Analysis raw'!$A$6:$A$104,'QB_Funds Analysis raw'!$B$6:$AC$104))),0,(_xlfn.XLOOKUP(V$5,'QB_Funds Analysis raw'!$B$5:$AC$5, _xlfn.XLOOKUP($A39,'QB_Funds Analysis raw'!$A$6:$A$104,'QB_Funds Analysis raw'!$B$6:$AC$104))))</f>
        <v>0</v>
      </c>
      <c r="W39" s="142" cm="1">
        <f t="array" ref="W39">IF(ISERROR(_xlfn.XLOOKUP(W$5,'QB_Funds Analysis raw'!$B$5:$AC$5, _xlfn.XLOOKUP($A39,'QB_Funds Analysis raw'!$A$6:$A$104,'QB_Funds Analysis raw'!$B$6:$AC$104))),0,(_xlfn.XLOOKUP(W$5,'QB_Funds Analysis raw'!$B$5:$AC$5, _xlfn.XLOOKUP($A39,'QB_Funds Analysis raw'!$A$6:$A$104,'QB_Funds Analysis raw'!$B$6:$AC$104))))</f>
        <v>0</v>
      </c>
      <c r="X39" s="142" cm="1">
        <f t="array" ref="X39">IF(ISERROR(_xlfn.XLOOKUP(X$5,'QB_Funds Analysis raw'!$B$5:$AC$5, _xlfn.XLOOKUP($A39,'QB_Funds Analysis raw'!$A$6:$A$104,'QB_Funds Analysis raw'!$B$6:$AC$104))),0,(_xlfn.XLOOKUP(X$5,'QB_Funds Analysis raw'!$B$5:$AC$5, _xlfn.XLOOKUP($A39,'QB_Funds Analysis raw'!$A$6:$A$104,'QB_Funds Analysis raw'!$B$6:$AC$104))))</f>
        <v>0</v>
      </c>
      <c r="Y39" s="142" cm="1">
        <f t="array" ref="Y39">IF(ISERROR(_xlfn.XLOOKUP(Y$5,'QB_Funds Analysis raw'!$B$5:$AC$5, _xlfn.XLOOKUP($A39,'QB_Funds Analysis raw'!$A$6:$A$104,'QB_Funds Analysis raw'!$B$6:$AC$104))),0,(_xlfn.XLOOKUP(Y$5,'QB_Funds Analysis raw'!$B$5:$AC$5, _xlfn.XLOOKUP($A39,'QB_Funds Analysis raw'!$A$6:$A$104,'QB_Funds Analysis raw'!$B$6:$AC$104))))</f>
        <v>0</v>
      </c>
      <c r="Z39" s="142" cm="1">
        <f t="array" ref="Z39">IF(ISERROR(_xlfn.XLOOKUP(Z$5,'QB_Funds Analysis raw'!$B$5:$AC$5, _xlfn.XLOOKUP($A39,'QB_Funds Analysis raw'!$A$6:$A$104,'QB_Funds Analysis raw'!$B$6:$AC$104))),0,(_xlfn.XLOOKUP(Z$5,'QB_Funds Analysis raw'!$B$5:$AC$5, _xlfn.XLOOKUP($A39,'QB_Funds Analysis raw'!$A$6:$A$104,'QB_Funds Analysis raw'!$B$6:$AC$104))))</f>
        <v>0</v>
      </c>
      <c r="AA39" s="142" cm="1">
        <f t="array" ref="AA39">IF(ISERROR(_xlfn.XLOOKUP(AA$5,'QB_Funds Analysis raw'!$B$5:$AC$5, _xlfn.XLOOKUP($A39,'QB_Funds Analysis raw'!$A$6:$A$104,'QB_Funds Analysis raw'!$B$6:$AC$104))),0,(_xlfn.XLOOKUP(AA$5,'QB_Funds Analysis raw'!$B$5:$AC$5, _xlfn.XLOOKUP($A39,'QB_Funds Analysis raw'!$A$6:$A$104,'QB_Funds Analysis raw'!$B$6:$AC$104))))</f>
        <v>0</v>
      </c>
      <c r="AB39" s="142" cm="1">
        <f t="array" ref="AB39">IF(ISERROR(_xlfn.XLOOKUP(AB$5,'QB_Funds Analysis raw'!$B$5:$AC$5, _xlfn.XLOOKUP($A39,'QB_Funds Analysis raw'!$A$6:$A$104,'QB_Funds Analysis raw'!$B$6:$AC$104))),0,(_xlfn.XLOOKUP(AB$5,'QB_Funds Analysis raw'!$B$5:$AC$5, _xlfn.XLOOKUP($A39,'QB_Funds Analysis raw'!$A$6:$A$104,'QB_Funds Analysis raw'!$B$6:$AC$104))))</f>
        <v>0</v>
      </c>
      <c r="AC39" s="142" cm="1">
        <f t="array" ref="AC39">IF(ISERROR(_xlfn.XLOOKUP(AC$5,'QB_Funds Analysis raw'!$B$5:$AC$5, _xlfn.XLOOKUP($A39,'QB_Funds Analysis raw'!$A$6:$A$104,'QB_Funds Analysis raw'!$B$6:$AC$104))),0,(_xlfn.XLOOKUP(AC$5,'QB_Funds Analysis raw'!$B$5:$AC$5, _xlfn.XLOOKUP($A39,'QB_Funds Analysis raw'!$A$6:$A$104,'QB_Funds Analysis raw'!$B$6:$AC$104))))</f>
        <v>0</v>
      </c>
      <c r="AD39" s="167">
        <f t="shared" si="13"/>
        <v>0</v>
      </c>
      <c r="AE39" s="167">
        <f t="shared" si="4"/>
        <v>0</v>
      </c>
    </row>
    <row r="40" spans="1:31" ht="20.25" customHeight="1" x14ac:dyDescent="0.25">
      <c r="A40" s="2" t="s">
        <v>362</v>
      </c>
      <c r="B40" s="142" cm="1">
        <f t="array" ref="B40">IF(ISERROR(_xlfn.XLOOKUP(B$5,'QB_Funds Analysis raw'!$B$5:$AC$5, _xlfn.XLOOKUP($A40,'QB_Funds Analysis raw'!$A$6:$A$104,'QB_Funds Analysis raw'!$B$6:$AC$104))),0,(_xlfn.XLOOKUP(B$5,'QB_Funds Analysis raw'!$B$5:$AC$5, _xlfn.XLOOKUP($A40,'QB_Funds Analysis raw'!$A$6:$A$104,'QB_Funds Analysis raw'!$B$6:$AC$104))))</f>
        <v>0</v>
      </c>
      <c r="C40" s="142" cm="1">
        <f t="array" ref="C40">IF(ISERROR(_xlfn.XLOOKUP(C$5,'QB_Funds Analysis raw'!$B$5:$AC$5, _xlfn.XLOOKUP($A40,'QB_Funds Analysis raw'!$A$6:$A$104,'QB_Funds Analysis raw'!$B$6:$AC$104))),0,(_xlfn.XLOOKUP(C$5,'QB_Funds Analysis raw'!$B$5:$AC$5, _xlfn.XLOOKUP($A40,'QB_Funds Analysis raw'!$A$6:$A$104,'QB_Funds Analysis raw'!$B$6:$AC$104))))</f>
        <v>0</v>
      </c>
      <c r="D40" s="252" cm="1">
        <f t="array" ref="D40">IF(ISERROR(_xlfn.XLOOKUP(D$5,'QB_Funds Analysis raw'!$B$5:$AC$5, _xlfn.XLOOKUP($A40,'QB_Funds Analysis raw'!$A$6:$A$104,'QB_Funds Analysis raw'!$B$6:$AC$104))),0,(_xlfn.XLOOKUP(D$5,'QB_Funds Analysis raw'!$B$5:$AC$5, _xlfn.XLOOKUP($A40,'QB_Funds Analysis raw'!$A$6:$A$104,'QB_Funds Analysis raw'!$B$6:$AC$104))))</f>
        <v>0</v>
      </c>
      <c r="E40" s="142" cm="1">
        <f t="array" ref="E40">IF(ISERROR(_xlfn.XLOOKUP(E$5,'QB_Funds Analysis raw'!$B$5:$AC$5, _xlfn.XLOOKUP($A40,'QB_Funds Analysis raw'!$A$6:$A$104,'QB_Funds Analysis raw'!$B$6:$AC$104))),0,(_xlfn.XLOOKUP(E$5,'QB_Funds Analysis raw'!$B$5:$AC$5, _xlfn.XLOOKUP($A40,'QB_Funds Analysis raw'!$A$6:$A$104,'QB_Funds Analysis raw'!$B$6:$AC$104))))</f>
        <v>0</v>
      </c>
      <c r="F40" s="142" cm="1">
        <f t="array" ref="F40">IF(ISERROR(_xlfn.XLOOKUP(F$5,'QB_Funds Analysis raw'!$B$5:$AC$5, _xlfn.XLOOKUP($A40,'QB_Funds Analysis raw'!$A$6:$A$104,'QB_Funds Analysis raw'!$B$6:$AC$104))),0,(_xlfn.XLOOKUP(F$5,'QB_Funds Analysis raw'!$B$5:$AC$5, _xlfn.XLOOKUP($A40,'QB_Funds Analysis raw'!$A$6:$A$104,'QB_Funds Analysis raw'!$B$6:$AC$104))))</f>
        <v>0</v>
      </c>
      <c r="G40" s="142" cm="1">
        <f t="array" ref="G40">IF(ISERROR(_xlfn.XLOOKUP(G$5,'QB_Funds Analysis raw'!$B$5:$AC$5, _xlfn.XLOOKUP($A40,'QB_Funds Analysis raw'!$A$6:$A$104,'QB_Funds Analysis raw'!$B$6:$AC$104))),0,(_xlfn.XLOOKUP(G$5,'QB_Funds Analysis raw'!$B$5:$AC$5, _xlfn.XLOOKUP($A40,'QB_Funds Analysis raw'!$A$6:$A$104,'QB_Funds Analysis raw'!$B$6:$AC$104))))</f>
        <v>0</v>
      </c>
      <c r="H40" s="142" cm="1">
        <f t="array" ref="H40">IF(ISERROR(_xlfn.XLOOKUP(H$5,'QB_Funds Analysis raw'!$B$5:$AC$5, _xlfn.XLOOKUP($A40,'QB_Funds Analysis raw'!$A$6:$A$104,'QB_Funds Analysis raw'!$B$6:$AC$104))),0,(_xlfn.XLOOKUP(H$5,'QB_Funds Analysis raw'!$B$5:$AC$5, _xlfn.XLOOKUP($A40,'QB_Funds Analysis raw'!$A$6:$A$104,'QB_Funds Analysis raw'!$B$6:$AC$104))))</f>
        <v>0</v>
      </c>
      <c r="I40" s="142" cm="1">
        <f t="array" ref="I40">IF(ISERROR(_xlfn.XLOOKUP(I$5,'QB_Funds Analysis raw'!$B$5:$AC$5, _xlfn.XLOOKUP($A40,'QB_Funds Analysis raw'!$A$6:$A$104,'QB_Funds Analysis raw'!$B$6:$AC$104))),0,(_xlfn.XLOOKUP(I$5,'QB_Funds Analysis raw'!$B$5:$AC$5, _xlfn.XLOOKUP($A40,'QB_Funds Analysis raw'!$A$6:$A$104,'QB_Funds Analysis raw'!$B$6:$AC$104))))</f>
        <v>0</v>
      </c>
      <c r="J40" s="142" cm="1">
        <f t="array" ref="J40">IF(ISERROR(_xlfn.XLOOKUP(J$5,'QB_Funds Analysis raw'!$B$5:$AC$5, _xlfn.XLOOKUP($A40,'QB_Funds Analysis raw'!$A$6:$A$104,'QB_Funds Analysis raw'!$B$6:$AC$104))),0,(_xlfn.XLOOKUP(J$5,'QB_Funds Analysis raw'!$B$5:$AC$5, _xlfn.XLOOKUP($A40,'QB_Funds Analysis raw'!$A$6:$A$104,'QB_Funds Analysis raw'!$B$6:$AC$104))))</f>
        <v>0</v>
      </c>
      <c r="K40" s="252" cm="1">
        <f t="array" ref="K40">IF(ISERROR(_xlfn.XLOOKUP(K$5,'QB_Funds Analysis raw'!$B$5:$AC$5, _xlfn.XLOOKUP($A40,'QB_Funds Analysis raw'!$A$6:$A$104,'QB_Funds Analysis raw'!$B$6:$AC$104))),0,(_xlfn.XLOOKUP(K$5,'QB_Funds Analysis raw'!$B$5:$AC$5, _xlfn.XLOOKUP($A40,'QB_Funds Analysis raw'!$A$6:$A$104,'QB_Funds Analysis raw'!$B$6:$AC$104))))</f>
        <v>0</v>
      </c>
      <c r="L40" s="142" cm="1">
        <f t="array" ref="L40">IF(ISERROR(_xlfn.XLOOKUP(L$5,'QB_Funds Analysis raw'!$B$5:$AC$5, _xlfn.XLOOKUP($A40,'QB_Funds Analysis raw'!$A$6:$A$104,'QB_Funds Analysis raw'!$B$6:$AC$104))),0,(_xlfn.XLOOKUP(L$5,'QB_Funds Analysis raw'!$B$5:$AC$5, _xlfn.XLOOKUP($A40,'QB_Funds Analysis raw'!$A$6:$A$104,'QB_Funds Analysis raw'!$B$6:$AC$104))))</f>
        <v>0</v>
      </c>
      <c r="M40" s="142" cm="1">
        <f t="array" ref="M40">IF(ISERROR(_xlfn.XLOOKUP(M$5,'QB_Funds Analysis raw'!$B$5:$AC$5, _xlfn.XLOOKUP($A40,'QB_Funds Analysis raw'!$A$6:$A$104,'QB_Funds Analysis raw'!$B$6:$AC$104))),0,(_xlfn.XLOOKUP(M$5,'QB_Funds Analysis raw'!$B$5:$AC$5, _xlfn.XLOOKUP($A40,'QB_Funds Analysis raw'!$A$6:$A$104,'QB_Funds Analysis raw'!$B$6:$AC$104))))</f>
        <v>0</v>
      </c>
      <c r="N40" s="252" cm="1">
        <f t="array" ref="N40">IF(ISERROR(_xlfn.XLOOKUP(N$5,'QB_Funds Analysis raw'!$B$5:$AC$5, _xlfn.XLOOKUP($A40,'QB_Funds Analysis raw'!$A$6:$A$104,'QB_Funds Analysis raw'!$B$6:$AC$104))),0,(_xlfn.XLOOKUP(N$5,'QB_Funds Analysis raw'!$B$5:$AC$5, _xlfn.XLOOKUP($A40,'QB_Funds Analysis raw'!$A$6:$A$104,'QB_Funds Analysis raw'!$B$6:$AC$104))))</f>
        <v>0</v>
      </c>
      <c r="O40" s="252" cm="1">
        <f t="array" ref="O40">IF(ISERROR(_xlfn.XLOOKUP(O$5,'QB_Funds Analysis raw'!$B$5:$AC$5, _xlfn.XLOOKUP($A40,'QB_Funds Analysis raw'!$A$6:$A$104,'QB_Funds Analysis raw'!$B$6:$AC$104))),0,(_xlfn.XLOOKUP(O$5,'QB_Funds Analysis raw'!$B$5:$AC$5, _xlfn.XLOOKUP($A40,'QB_Funds Analysis raw'!$A$6:$A$104,'QB_Funds Analysis raw'!$B$6:$AC$104))))</f>
        <v>0</v>
      </c>
      <c r="P40" s="142" cm="1">
        <f t="array" ref="P40">IF(ISERROR(_xlfn.XLOOKUP(P$5,'QB_Funds Analysis raw'!$B$5:$AC$5, _xlfn.XLOOKUP($A40,'QB_Funds Analysis raw'!$A$6:$A$104,'QB_Funds Analysis raw'!$B$6:$AC$104))),0,(_xlfn.XLOOKUP(P$5,'QB_Funds Analysis raw'!$B$5:$AC$5, _xlfn.XLOOKUP($A40,'QB_Funds Analysis raw'!$A$6:$A$104,'QB_Funds Analysis raw'!$B$6:$AC$104))))</f>
        <v>0</v>
      </c>
      <c r="Q40" s="247" cm="1">
        <f t="array" ref="Q40">IF(ISERROR(_xlfn.XLOOKUP(Q$5,'QB_Funds Analysis raw'!$B$5:$AC$5, _xlfn.XLOOKUP($A40,'QB_Funds Analysis raw'!$A$6:$A$104,'QB_Funds Analysis raw'!$B$6:$AC$104))),0,(_xlfn.XLOOKUP(Q$5,'QB_Funds Analysis raw'!$B$5:$AC$5, _xlfn.XLOOKUP($A40,'QB_Funds Analysis raw'!$A$6:$A$104,'QB_Funds Analysis raw'!$B$6:$AC$104))))</f>
        <v>0</v>
      </c>
      <c r="R40" s="142" cm="1">
        <f t="array" ref="R40">IF(ISERROR(_xlfn.XLOOKUP(R$5,'QB_Funds Analysis raw'!$B$5:$AC$5, _xlfn.XLOOKUP($A40,'QB_Funds Analysis raw'!$A$6:$A$104,'QB_Funds Analysis raw'!$B$6:$AC$104))),0,(_xlfn.XLOOKUP(R$5,'QB_Funds Analysis raw'!$B$5:$AC$5, _xlfn.XLOOKUP($A40,'QB_Funds Analysis raw'!$A$6:$A$104,'QB_Funds Analysis raw'!$B$6:$AC$104))))</f>
        <v>0</v>
      </c>
      <c r="S40" s="142" cm="1">
        <f t="array" ref="S40">IF(ISERROR(_xlfn.XLOOKUP(S$5,'QB_Funds Analysis raw'!$B$5:$AC$5, _xlfn.XLOOKUP($A40,'QB_Funds Analysis raw'!$A$6:$A$104,'QB_Funds Analysis raw'!$B$6:$AC$104))),0,(_xlfn.XLOOKUP(S$5,'QB_Funds Analysis raw'!$B$5:$AC$5, _xlfn.XLOOKUP($A40,'QB_Funds Analysis raw'!$A$6:$A$104,'QB_Funds Analysis raw'!$B$6:$AC$104))))</f>
        <v>0</v>
      </c>
      <c r="T40" s="142" cm="1">
        <f t="array" ref="T40">IF(ISERROR(_xlfn.XLOOKUP(T$5,'QB_Funds Analysis raw'!$B$5:$AC$5, _xlfn.XLOOKUP($A40,'QB_Funds Analysis raw'!$A$6:$A$104,'QB_Funds Analysis raw'!$B$6:$AC$104))),0,(_xlfn.XLOOKUP(T$5,'QB_Funds Analysis raw'!$B$5:$AC$5, _xlfn.XLOOKUP($A40,'QB_Funds Analysis raw'!$A$6:$A$104,'QB_Funds Analysis raw'!$B$6:$AC$104))))</f>
        <v>0</v>
      </c>
      <c r="U40" s="142" cm="1">
        <f t="array" ref="U40">IF(ISERROR(_xlfn.XLOOKUP(U$5,'QB_Funds Analysis raw'!$B$5:$AC$5, _xlfn.XLOOKUP($A40,'QB_Funds Analysis raw'!$A$6:$A$104,'QB_Funds Analysis raw'!$B$6:$AC$104))),0,(_xlfn.XLOOKUP(U$5,'QB_Funds Analysis raw'!$B$5:$AC$5, _xlfn.XLOOKUP($A40,'QB_Funds Analysis raw'!$A$6:$A$104,'QB_Funds Analysis raw'!$B$6:$AC$104))))</f>
        <v>0</v>
      </c>
      <c r="V40" s="142" cm="1">
        <f t="array" ref="V40">IF(ISERROR(_xlfn.XLOOKUP(V$5,'QB_Funds Analysis raw'!$B$5:$AC$5, _xlfn.XLOOKUP($A40,'QB_Funds Analysis raw'!$A$6:$A$104,'QB_Funds Analysis raw'!$B$6:$AC$104))),0,(_xlfn.XLOOKUP(V$5,'QB_Funds Analysis raw'!$B$5:$AC$5, _xlfn.XLOOKUP($A40,'QB_Funds Analysis raw'!$A$6:$A$104,'QB_Funds Analysis raw'!$B$6:$AC$104))))</f>
        <v>0</v>
      </c>
      <c r="W40" s="142" cm="1">
        <f t="array" ref="W40">IF(ISERROR(_xlfn.XLOOKUP(W$5,'QB_Funds Analysis raw'!$B$5:$AC$5, _xlfn.XLOOKUP($A40,'QB_Funds Analysis raw'!$A$6:$A$104,'QB_Funds Analysis raw'!$B$6:$AC$104))),0,(_xlfn.XLOOKUP(W$5,'QB_Funds Analysis raw'!$B$5:$AC$5, _xlfn.XLOOKUP($A40,'QB_Funds Analysis raw'!$A$6:$A$104,'QB_Funds Analysis raw'!$B$6:$AC$104))))</f>
        <v>0</v>
      </c>
      <c r="X40" s="142" cm="1">
        <f t="array" ref="X40">IF(ISERROR(_xlfn.XLOOKUP(X$5,'QB_Funds Analysis raw'!$B$5:$AC$5, _xlfn.XLOOKUP($A40,'QB_Funds Analysis raw'!$A$6:$A$104,'QB_Funds Analysis raw'!$B$6:$AC$104))),0,(_xlfn.XLOOKUP(X$5,'QB_Funds Analysis raw'!$B$5:$AC$5, _xlfn.XLOOKUP($A40,'QB_Funds Analysis raw'!$A$6:$A$104,'QB_Funds Analysis raw'!$B$6:$AC$104))))</f>
        <v>0</v>
      </c>
      <c r="Y40" s="142" cm="1">
        <f t="array" ref="Y40">IF(ISERROR(_xlfn.XLOOKUP(Y$5,'QB_Funds Analysis raw'!$B$5:$AC$5, _xlfn.XLOOKUP($A40,'QB_Funds Analysis raw'!$A$6:$A$104,'QB_Funds Analysis raw'!$B$6:$AC$104))),0,(_xlfn.XLOOKUP(Y$5,'QB_Funds Analysis raw'!$B$5:$AC$5, _xlfn.XLOOKUP($A40,'QB_Funds Analysis raw'!$A$6:$A$104,'QB_Funds Analysis raw'!$B$6:$AC$104))))</f>
        <v>0</v>
      </c>
      <c r="Z40" s="142" cm="1">
        <f t="array" ref="Z40">IF(ISERROR(_xlfn.XLOOKUP(Z$5,'QB_Funds Analysis raw'!$B$5:$AC$5, _xlfn.XLOOKUP($A40,'QB_Funds Analysis raw'!$A$6:$A$104,'QB_Funds Analysis raw'!$B$6:$AC$104))),0,(_xlfn.XLOOKUP(Z$5,'QB_Funds Analysis raw'!$B$5:$AC$5, _xlfn.XLOOKUP($A40,'QB_Funds Analysis raw'!$A$6:$A$104,'QB_Funds Analysis raw'!$B$6:$AC$104))))</f>
        <v>0</v>
      </c>
      <c r="AA40" s="142" cm="1">
        <f t="array" ref="AA40">IF(ISERROR(_xlfn.XLOOKUP(AA$5,'QB_Funds Analysis raw'!$B$5:$AC$5, _xlfn.XLOOKUP($A40,'QB_Funds Analysis raw'!$A$6:$A$104,'QB_Funds Analysis raw'!$B$6:$AC$104))),0,(_xlfn.XLOOKUP(AA$5,'QB_Funds Analysis raw'!$B$5:$AC$5, _xlfn.XLOOKUP($A40,'QB_Funds Analysis raw'!$A$6:$A$104,'QB_Funds Analysis raw'!$B$6:$AC$104))))</f>
        <v>0</v>
      </c>
      <c r="AB40" s="142" cm="1">
        <f t="array" ref="AB40">IF(ISERROR(_xlfn.XLOOKUP(AB$5,'QB_Funds Analysis raw'!$B$5:$AC$5, _xlfn.XLOOKUP($A40,'QB_Funds Analysis raw'!$A$6:$A$104,'QB_Funds Analysis raw'!$B$6:$AC$104))),0,(_xlfn.XLOOKUP(AB$5,'QB_Funds Analysis raw'!$B$5:$AC$5, _xlfn.XLOOKUP($A40,'QB_Funds Analysis raw'!$A$6:$A$104,'QB_Funds Analysis raw'!$B$6:$AC$104))))</f>
        <v>1402.37</v>
      </c>
      <c r="AC40" s="142" cm="1">
        <f t="array" ref="AC40">IF(ISERROR(_xlfn.XLOOKUP(AC$5,'QB_Funds Analysis raw'!$B$5:$AC$5, _xlfn.XLOOKUP($A40,'QB_Funds Analysis raw'!$A$6:$A$104,'QB_Funds Analysis raw'!$B$6:$AC$104))),0,(_xlfn.XLOOKUP(AC$5,'QB_Funds Analysis raw'!$B$5:$AC$5, _xlfn.XLOOKUP($A40,'QB_Funds Analysis raw'!$A$6:$A$104,'QB_Funds Analysis raw'!$B$6:$AC$104))))</f>
        <v>1402.37</v>
      </c>
      <c r="AD40" s="167">
        <f t="shared" si="13"/>
        <v>1402.37</v>
      </c>
      <c r="AE40" s="167">
        <f t="shared" si="4"/>
        <v>0</v>
      </c>
    </row>
    <row r="41" spans="1:31" ht="20.25" customHeight="1" x14ac:dyDescent="0.25">
      <c r="A41" s="135" t="s">
        <v>46</v>
      </c>
      <c r="B41" s="153">
        <f t="shared" ref="B41" si="14">(((((B33)+(B34))+(B35))+(B36))+(B37))+(B38)+B39+B40</f>
        <v>0</v>
      </c>
      <c r="C41" s="153">
        <f t="shared" ref="C41:AC41" si="15">(((((C33)+(C34))+(C35))+(C36))+(C37))+(C38)+C39+C40</f>
        <v>0</v>
      </c>
      <c r="D41" s="253">
        <f t="shared" si="15"/>
        <v>0</v>
      </c>
      <c r="E41" s="153">
        <f t="shared" si="15"/>
        <v>0</v>
      </c>
      <c r="F41" s="153">
        <f t="shared" si="15"/>
        <v>0</v>
      </c>
      <c r="G41" s="153">
        <f t="shared" si="15"/>
        <v>0</v>
      </c>
      <c r="H41" s="153">
        <f t="shared" si="15"/>
        <v>0</v>
      </c>
      <c r="I41" s="153">
        <f t="shared" si="15"/>
        <v>0</v>
      </c>
      <c r="J41" s="153">
        <f t="shared" si="15"/>
        <v>552.20000000000005</v>
      </c>
      <c r="K41" s="253">
        <f t="shared" si="15"/>
        <v>1306.8900000000001</v>
      </c>
      <c r="L41" s="153">
        <f t="shared" si="15"/>
        <v>1060</v>
      </c>
      <c r="M41" s="153">
        <f t="shared" si="15"/>
        <v>0</v>
      </c>
      <c r="N41" s="253">
        <f t="shared" si="15"/>
        <v>79.5</v>
      </c>
      <c r="O41" s="253">
        <f t="shared" si="15"/>
        <v>4103.5</v>
      </c>
      <c r="P41" s="153">
        <f t="shared" si="15"/>
        <v>0</v>
      </c>
      <c r="Q41" s="244">
        <f t="shared" si="15"/>
        <v>7102.09</v>
      </c>
      <c r="R41" s="153">
        <f t="shared" si="15"/>
        <v>0</v>
      </c>
      <c r="S41" s="153">
        <f t="shared" si="15"/>
        <v>0</v>
      </c>
      <c r="T41" s="153">
        <f t="shared" si="15"/>
        <v>0</v>
      </c>
      <c r="U41" s="153">
        <f t="shared" si="15"/>
        <v>0</v>
      </c>
      <c r="V41" s="153">
        <f t="shared" si="15"/>
        <v>0</v>
      </c>
      <c r="W41" s="153">
        <f t="shared" si="15"/>
        <v>1060</v>
      </c>
      <c r="X41" s="153">
        <f t="shared" si="15"/>
        <v>12631.9</v>
      </c>
      <c r="Y41" s="153">
        <f t="shared" si="15"/>
        <v>0</v>
      </c>
      <c r="Z41" s="153">
        <f t="shared" si="15"/>
        <v>0</v>
      </c>
      <c r="AA41" s="153">
        <f t="shared" si="15"/>
        <v>0</v>
      </c>
      <c r="AB41" s="153">
        <f t="shared" si="15"/>
        <v>69867.56</v>
      </c>
      <c r="AC41" s="153">
        <f t="shared" si="15"/>
        <v>76969.649999999994</v>
      </c>
      <c r="AD41" s="167">
        <f t="shared" si="13"/>
        <v>76969.649999999994</v>
      </c>
      <c r="AE41" s="167">
        <f t="shared" si="4"/>
        <v>0</v>
      </c>
    </row>
    <row r="42" spans="1:31" ht="20.25" customHeight="1" x14ac:dyDescent="0.25">
      <c r="A42" s="2" t="s">
        <v>47</v>
      </c>
      <c r="B42" s="142" cm="1">
        <f t="array" ref="B42">IF(ISERROR(_xlfn.XLOOKUP(B$5,'QB_Funds Analysis raw'!$B$5:$AC$5, _xlfn.XLOOKUP($A42,'QB_Funds Analysis raw'!$A$6:$A$104,'QB_Funds Analysis raw'!$B$6:$AC$104))),0,(_xlfn.XLOOKUP(B$5,'QB_Funds Analysis raw'!$B$5:$AC$5, _xlfn.XLOOKUP($A42,'QB_Funds Analysis raw'!$A$6:$A$104,'QB_Funds Analysis raw'!$B$6:$AC$104))))</f>
        <v>0</v>
      </c>
      <c r="C42" s="142" cm="1">
        <f t="array" ref="C42">IF(ISERROR(_xlfn.XLOOKUP(C$5,'QB_Funds Analysis raw'!$B$5:$AC$5, _xlfn.XLOOKUP($A42,'QB_Funds Analysis raw'!$A$6:$A$104,'QB_Funds Analysis raw'!$B$6:$AC$104))),0,(_xlfn.XLOOKUP(C$5,'QB_Funds Analysis raw'!$B$5:$AC$5, _xlfn.XLOOKUP($A42,'QB_Funds Analysis raw'!$A$6:$A$104,'QB_Funds Analysis raw'!$B$6:$AC$104))))</f>
        <v>0</v>
      </c>
      <c r="D42" s="252" cm="1">
        <f t="array" ref="D42">IF(ISERROR(_xlfn.XLOOKUP(D$5,'QB_Funds Analysis raw'!$B$5:$AC$5, _xlfn.XLOOKUP($A42,'QB_Funds Analysis raw'!$A$6:$A$104,'QB_Funds Analysis raw'!$B$6:$AC$104))),0,(_xlfn.XLOOKUP(D$5,'QB_Funds Analysis raw'!$B$5:$AC$5, _xlfn.XLOOKUP($A42,'QB_Funds Analysis raw'!$A$6:$A$104,'QB_Funds Analysis raw'!$B$6:$AC$104))))</f>
        <v>0</v>
      </c>
      <c r="E42" s="142" cm="1">
        <f t="array" ref="E42">IF(ISERROR(_xlfn.XLOOKUP(E$5,'QB_Funds Analysis raw'!$B$5:$AC$5, _xlfn.XLOOKUP($A42,'QB_Funds Analysis raw'!$A$6:$A$104,'QB_Funds Analysis raw'!$B$6:$AC$104))),0,(_xlfn.XLOOKUP(E$5,'QB_Funds Analysis raw'!$B$5:$AC$5, _xlfn.XLOOKUP($A42,'QB_Funds Analysis raw'!$A$6:$A$104,'QB_Funds Analysis raw'!$B$6:$AC$104))))</f>
        <v>0</v>
      </c>
      <c r="F42" s="142" cm="1">
        <f t="array" ref="F42">IF(ISERROR(_xlfn.XLOOKUP(F$5,'QB_Funds Analysis raw'!$B$5:$AC$5, _xlfn.XLOOKUP($A42,'QB_Funds Analysis raw'!$A$6:$A$104,'QB_Funds Analysis raw'!$B$6:$AC$104))),0,(_xlfn.XLOOKUP(F$5,'QB_Funds Analysis raw'!$B$5:$AC$5, _xlfn.XLOOKUP($A42,'QB_Funds Analysis raw'!$A$6:$A$104,'QB_Funds Analysis raw'!$B$6:$AC$104))))</f>
        <v>0</v>
      </c>
      <c r="G42" s="142" cm="1">
        <f t="array" ref="G42">IF(ISERROR(_xlfn.XLOOKUP(G$5,'QB_Funds Analysis raw'!$B$5:$AC$5, _xlfn.XLOOKUP($A42,'QB_Funds Analysis raw'!$A$6:$A$104,'QB_Funds Analysis raw'!$B$6:$AC$104))),0,(_xlfn.XLOOKUP(G$5,'QB_Funds Analysis raw'!$B$5:$AC$5, _xlfn.XLOOKUP($A42,'QB_Funds Analysis raw'!$A$6:$A$104,'QB_Funds Analysis raw'!$B$6:$AC$104))))</f>
        <v>0</v>
      </c>
      <c r="H42" s="142" cm="1">
        <f t="array" ref="H42">IF(ISERROR(_xlfn.XLOOKUP(H$5,'QB_Funds Analysis raw'!$B$5:$AC$5, _xlfn.XLOOKUP($A42,'QB_Funds Analysis raw'!$A$6:$A$104,'QB_Funds Analysis raw'!$B$6:$AC$104))),0,(_xlfn.XLOOKUP(H$5,'QB_Funds Analysis raw'!$B$5:$AC$5, _xlfn.XLOOKUP($A42,'QB_Funds Analysis raw'!$A$6:$A$104,'QB_Funds Analysis raw'!$B$6:$AC$104))))</f>
        <v>0</v>
      </c>
      <c r="I42" s="142" cm="1">
        <f t="array" ref="I42">IF(ISERROR(_xlfn.XLOOKUP(I$5,'QB_Funds Analysis raw'!$B$5:$AC$5, _xlfn.XLOOKUP($A42,'QB_Funds Analysis raw'!$A$6:$A$104,'QB_Funds Analysis raw'!$B$6:$AC$104))),0,(_xlfn.XLOOKUP(I$5,'QB_Funds Analysis raw'!$B$5:$AC$5, _xlfn.XLOOKUP($A42,'QB_Funds Analysis raw'!$A$6:$A$104,'QB_Funds Analysis raw'!$B$6:$AC$104))))</f>
        <v>0</v>
      </c>
      <c r="J42" s="142" cm="1">
        <f t="array" ref="J42">IF(ISERROR(_xlfn.XLOOKUP(J$5,'QB_Funds Analysis raw'!$B$5:$AC$5, _xlfn.XLOOKUP($A42,'QB_Funds Analysis raw'!$A$6:$A$104,'QB_Funds Analysis raw'!$B$6:$AC$104))),0,(_xlfn.XLOOKUP(J$5,'QB_Funds Analysis raw'!$B$5:$AC$5, _xlfn.XLOOKUP($A42,'QB_Funds Analysis raw'!$A$6:$A$104,'QB_Funds Analysis raw'!$B$6:$AC$104))))</f>
        <v>0</v>
      </c>
      <c r="K42" s="252" cm="1">
        <f t="array" ref="K42">IF(ISERROR(_xlfn.XLOOKUP(K$5,'QB_Funds Analysis raw'!$B$5:$AC$5, _xlfn.XLOOKUP($A42,'QB_Funds Analysis raw'!$A$6:$A$104,'QB_Funds Analysis raw'!$B$6:$AC$104))),0,(_xlfn.XLOOKUP(K$5,'QB_Funds Analysis raw'!$B$5:$AC$5, _xlfn.XLOOKUP($A42,'QB_Funds Analysis raw'!$A$6:$A$104,'QB_Funds Analysis raw'!$B$6:$AC$104))))</f>
        <v>0</v>
      </c>
      <c r="L42" s="142" cm="1">
        <f t="array" ref="L42">IF(ISERROR(_xlfn.XLOOKUP(L$5,'QB_Funds Analysis raw'!$B$5:$AC$5, _xlfn.XLOOKUP($A42,'QB_Funds Analysis raw'!$A$6:$A$104,'QB_Funds Analysis raw'!$B$6:$AC$104))),0,(_xlfn.XLOOKUP(L$5,'QB_Funds Analysis raw'!$B$5:$AC$5, _xlfn.XLOOKUP($A42,'QB_Funds Analysis raw'!$A$6:$A$104,'QB_Funds Analysis raw'!$B$6:$AC$104))))</f>
        <v>0</v>
      </c>
      <c r="M42" s="142" cm="1">
        <f t="array" ref="M42">IF(ISERROR(_xlfn.XLOOKUP(M$5,'QB_Funds Analysis raw'!$B$5:$AC$5, _xlfn.XLOOKUP($A42,'QB_Funds Analysis raw'!$A$6:$A$104,'QB_Funds Analysis raw'!$B$6:$AC$104))),0,(_xlfn.XLOOKUP(M$5,'QB_Funds Analysis raw'!$B$5:$AC$5, _xlfn.XLOOKUP($A42,'QB_Funds Analysis raw'!$A$6:$A$104,'QB_Funds Analysis raw'!$B$6:$AC$104))))</f>
        <v>0</v>
      </c>
      <c r="N42" s="252" cm="1">
        <f t="array" ref="N42">IF(ISERROR(_xlfn.XLOOKUP(N$5,'QB_Funds Analysis raw'!$B$5:$AC$5, _xlfn.XLOOKUP($A42,'QB_Funds Analysis raw'!$A$6:$A$104,'QB_Funds Analysis raw'!$B$6:$AC$104))),0,(_xlfn.XLOOKUP(N$5,'QB_Funds Analysis raw'!$B$5:$AC$5, _xlfn.XLOOKUP($A42,'QB_Funds Analysis raw'!$A$6:$A$104,'QB_Funds Analysis raw'!$B$6:$AC$104))))</f>
        <v>0</v>
      </c>
      <c r="O42" s="252" cm="1">
        <f t="array" ref="O42">IF(ISERROR(_xlfn.XLOOKUP(O$5,'QB_Funds Analysis raw'!$B$5:$AC$5, _xlfn.XLOOKUP($A42,'QB_Funds Analysis raw'!$A$6:$A$104,'QB_Funds Analysis raw'!$B$6:$AC$104))),0,(_xlfn.XLOOKUP(O$5,'QB_Funds Analysis raw'!$B$5:$AC$5, _xlfn.XLOOKUP($A42,'QB_Funds Analysis raw'!$A$6:$A$104,'QB_Funds Analysis raw'!$B$6:$AC$104))))</f>
        <v>0</v>
      </c>
      <c r="P42" s="142" cm="1">
        <f t="array" ref="P42">IF(ISERROR(_xlfn.XLOOKUP(P$5,'QB_Funds Analysis raw'!$B$5:$AC$5, _xlfn.XLOOKUP($A42,'QB_Funds Analysis raw'!$A$6:$A$104,'QB_Funds Analysis raw'!$B$6:$AC$104))),0,(_xlfn.XLOOKUP(P$5,'QB_Funds Analysis raw'!$B$5:$AC$5, _xlfn.XLOOKUP($A42,'QB_Funds Analysis raw'!$A$6:$A$104,'QB_Funds Analysis raw'!$B$6:$AC$104))))</f>
        <v>0</v>
      </c>
      <c r="Q42" s="247" cm="1">
        <f t="array" ref="Q42">IF(ISERROR(_xlfn.XLOOKUP(Q$5,'QB_Funds Analysis raw'!$B$5:$AC$5, _xlfn.XLOOKUP($A42,'QB_Funds Analysis raw'!$A$6:$A$104,'QB_Funds Analysis raw'!$B$6:$AC$104))),0,(_xlfn.XLOOKUP(Q$5,'QB_Funds Analysis raw'!$B$5:$AC$5, _xlfn.XLOOKUP($A42,'QB_Funds Analysis raw'!$A$6:$A$104,'QB_Funds Analysis raw'!$B$6:$AC$104))))</f>
        <v>0</v>
      </c>
      <c r="R42" s="142" cm="1">
        <f t="array" ref="R42">IF(ISERROR(_xlfn.XLOOKUP(R$5,'QB_Funds Analysis raw'!$B$5:$AC$5, _xlfn.XLOOKUP($A42,'QB_Funds Analysis raw'!$A$6:$A$104,'QB_Funds Analysis raw'!$B$6:$AC$104))),0,(_xlfn.XLOOKUP(R$5,'QB_Funds Analysis raw'!$B$5:$AC$5, _xlfn.XLOOKUP($A42,'QB_Funds Analysis raw'!$A$6:$A$104,'QB_Funds Analysis raw'!$B$6:$AC$104))))</f>
        <v>0</v>
      </c>
      <c r="S42" s="142" cm="1">
        <f t="array" ref="S42">IF(ISERROR(_xlfn.XLOOKUP(S$5,'QB_Funds Analysis raw'!$B$5:$AC$5, _xlfn.XLOOKUP($A42,'QB_Funds Analysis raw'!$A$6:$A$104,'QB_Funds Analysis raw'!$B$6:$AC$104))),0,(_xlfn.XLOOKUP(S$5,'QB_Funds Analysis raw'!$B$5:$AC$5, _xlfn.XLOOKUP($A42,'QB_Funds Analysis raw'!$A$6:$A$104,'QB_Funds Analysis raw'!$B$6:$AC$104))))</f>
        <v>0</v>
      </c>
      <c r="T42" s="142" cm="1">
        <f t="array" ref="T42">IF(ISERROR(_xlfn.XLOOKUP(T$5,'QB_Funds Analysis raw'!$B$5:$AC$5, _xlfn.XLOOKUP($A42,'QB_Funds Analysis raw'!$A$6:$A$104,'QB_Funds Analysis raw'!$B$6:$AC$104))),0,(_xlfn.XLOOKUP(T$5,'QB_Funds Analysis raw'!$B$5:$AC$5, _xlfn.XLOOKUP($A42,'QB_Funds Analysis raw'!$A$6:$A$104,'QB_Funds Analysis raw'!$B$6:$AC$104))))</f>
        <v>0</v>
      </c>
      <c r="U42" s="142" cm="1">
        <f t="array" ref="U42">IF(ISERROR(_xlfn.XLOOKUP(U$5,'QB_Funds Analysis raw'!$B$5:$AC$5, _xlfn.XLOOKUP($A42,'QB_Funds Analysis raw'!$A$6:$A$104,'QB_Funds Analysis raw'!$B$6:$AC$104))),0,(_xlfn.XLOOKUP(U$5,'QB_Funds Analysis raw'!$B$5:$AC$5, _xlfn.XLOOKUP($A42,'QB_Funds Analysis raw'!$A$6:$A$104,'QB_Funds Analysis raw'!$B$6:$AC$104))))</f>
        <v>0</v>
      </c>
      <c r="V42" s="142" cm="1">
        <f t="array" ref="V42">IF(ISERROR(_xlfn.XLOOKUP(V$5,'QB_Funds Analysis raw'!$B$5:$AC$5, _xlfn.XLOOKUP($A42,'QB_Funds Analysis raw'!$A$6:$A$104,'QB_Funds Analysis raw'!$B$6:$AC$104))),0,(_xlfn.XLOOKUP(V$5,'QB_Funds Analysis raw'!$B$5:$AC$5, _xlfn.XLOOKUP($A42,'QB_Funds Analysis raw'!$A$6:$A$104,'QB_Funds Analysis raw'!$B$6:$AC$104))))</f>
        <v>0</v>
      </c>
      <c r="W42" s="142" cm="1">
        <f t="array" ref="W42">IF(ISERROR(_xlfn.XLOOKUP(W$5,'QB_Funds Analysis raw'!$B$5:$AC$5, _xlfn.XLOOKUP($A42,'QB_Funds Analysis raw'!$A$6:$A$104,'QB_Funds Analysis raw'!$B$6:$AC$104))),0,(_xlfn.XLOOKUP(W$5,'QB_Funds Analysis raw'!$B$5:$AC$5, _xlfn.XLOOKUP($A42,'QB_Funds Analysis raw'!$A$6:$A$104,'QB_Funds Analysis raw'!$B$6:$AC$104))))</f>
        <v>0</v>
      </c>
      <c r="X42" s="142" cm="1">
        <f t="array" ref="X42">IF(ISERROR(_xlfn.XLOOKUP(X$5,'QB_Funds Analysis raw'!$B$5:$AC$5, _xlfn.XLOOKUP($A42,'QB_Funds Analysis raw'!$A$6:$A$104,'QB_Funds Analysis raw'!$B$6:$AC$104))),0,(_xlfn.XLOOKUP(X$5,'QB_Funds Analysis raw'!$B$5:$AC$5, _xlfn.XLOOKUP($A42,'QB_Funds Analysis raw'!$A$6:$A$104,'QB_Funds Analysis raw'!$B$6:$AC$104))))</f>
        <v>0</v>
      </c>
      <c r="Y42" s="142" cm="1">
        <f t="array" ref="Y42">IF(ISERROR(_xlfn.XLOOKUP(Y$5,'QB_Funds Analysis raw'!$B$5:$AC$5, _xlfn.XLOOKUP($A42,'QB_Funds Analysis raw'!$A$6:$A$104,'QB_Funds Analysis raw'!$B$6:$AC$104))),0,(_xlfn.XLOOKUP(Y$5,'QB_Funds Analysis raw'!$B$5:$AC$5, _xlfn.XLOOKUP($A42,'QB_Funds Analysis raw'!$A$6:$A$104,'QB_Funds Analysis raw'!$B$6:$AC$104))))</f>
        <v>0</v>
      </c>
      <c r="Z42" s="142" cm="1">
        <f t="array" ref="Z42">IF(ISERROR(_xlfn.XLOOKUP(Z$5,'QB_Funds Analysis raw'!$B$5:$AC$5, _xlfn.XLOOKUP($A42,'QB_Funds Analysis raw'!$A$6:$A$104,'QB_Funds Analysis raw'!$B$6:$AC$104))),0,(_xlfn.XLOOKUP(Z$5,'QB_Funds Analysis raw'!$B$5:$AC$5, _xlfn.XLOOKUP($A42,'QB_Funds Analysis raw'!$A$6:$A$104,'QB_Funds Analysis raw'!$B$6:$AC$104))))</f>
        <v>0</v>
      </c>
      <c r="AA42" s="142" cm="1">
        <f t="array" ref="AA42">IF(ISERROR(_xlfn.XLOOKUP(AA$5,'QB_Funds Analysis raw'!$B$5:$AC$5, _xlfn.XLOOKUP($A42,'QB_Funds Analysis raw'!$A$6:$A$104,'QB_Funds Analysis raw'!$B$6:$AC$104))),0,(_xlfn.XLOOKUP(AA$5,'QB_Funds Analysis raw'!$B$5:$AC$5, _xlfn.XLOOKUP($A42,'QB_Funds Analysis raw'!$A$6:$A$104,'QB_Funds Analysis raw'!$B$6:$AC$104))))</f>
        <v>0</v>
      </c>
      <c r="AB42" s="142" cm="1">
        <f t="array" ref="AB42">IF(ISERROR(_xlfn.XLOOKUP(AB$5,'QB_Funds Analysis raw'!$B$5:$AC$5, _xlfn.XLOOKUP($A42,'QB_Funds Analysis raw'!$A$6:$A$104,'QB_Funds Analysis raw'!$B$6:$AC$104))),0,(_xlfn.XLOOKUP(AB$5,'QB_Funds Analysis raw'!$B$5:$AC$5, _xlfn.XLOOKUP($A42,'QB_Funds Analysis raw'!$A$6:$A$104,'QB_Funds Analysis raw'!$B$6:$AC$104))))</f>
        <v>0</v>
      </c>
      <c r="AC42" s="142" cm="1">
        <f t="array" ref="AC42">IF(ISERROR(_xlfn.XLOOKUP(AC$5,'QB_Funds Analysis raw'!$B$5:$AC$5, _xlfn.XLOOKUP($A42,'QB_Funds Analysis raw'!$A$6:$A$104,'QB_Funds Analysis raw'!$B$6:$AC$104))),0,(_xlfn.XLOOKUP(AC$5,'QB_Funds Analysis raw'!$B$5:$AC$5, _xlfn.XLOOKUP($A42,'QB_Funds Analysis raw'!$A$6:$A$104,'QB_Funds Analysis raw'!$B$6:$AC$104))))</f>
        <v>0</v>
      </c>
      <c r="AD42" s="167">
        <f t="shared" si="13"/>
        <v>0</v>
      </c>
      <c r="AE42" s="167">
        <f t="shared" si="4"/>
        <v>0</v>
      </c>
    </row>
    <row r="43" spans="1:31" ht="20.25" customHeight="1" x14ac:dyDescent="0.25">
      <c r="A43" s="2" t="s">
        <v>48</v>
      </c>
      <c r="B43" s="142" cm="1">
        <f t="array" ref="B43">IF(ISERROR(_xlfn.XLOOKUP(B$5,'QB_Funds Analysis raw'!$B$5:$AC$5, _xlfn.XLOOKUP($A43,'QB_Funds Analysis raw'!$A$6:$A$104,'QB_Funds Analysis raw'!$B$6:$AC$104))),0,(_xlfn.XLOOKUP(B$5,'QB_Funds Analysis raw'!$B$5:$AC$5, _xlfn.XLOOKUP($A43,'QB_Funds Analysis raw'!$A$6:$A$104,'QB_Funds Analysis raw'!$B$6:$AC$104))))</f>
        <v>0</v>
      </c>
      <c r="C43" s="142" cm="1">
        <f t="array" ref="C43">IF(ISERROR(_xlfn.XLOOKUP(C$5,'QB_Funds Analysis raw'!$B$5:$AC$5, _xlfn.XLOOKUP($A43,'QB_Funds Analysis raw'!$A$6:$A$104,'QB_Funds Analysis raw'!$B$6:$AC$104))),0,(_xlfn.XLOOKUP(C$5,'QB_Funds Analysis raw'!$B$5:$AC$5, _xlfn.XLOOKUP($A43,'QB_Funds Analysis raw'!$A$6:$A$104,'QB_Funds Analysis raw'!$B$6:$AC$104))))</f>
        <v>0</v>
      </c>
      <c r="D43" s="252" cm="1">
        <f t="array" ref="D43">IF(ISERROR(_xlfn.XLOOKUP(D$5,'QB_Funds Analysis raw'!$B$5:$AC$5, _xlfn.XLOOKUP($A43,'QB_Funds Analysis raw'!$A$6:$A$104,'QB_Funds Analysis raw'!$B$6:$AC$104))),0,(_xlfn.XLOOKUP(D$5,'QB_Funds Analysis raw'!$B$5:$AC$5, _xlfn.XLOOKUP($A43,'QB_Funds Analysis raw'!$A$6:$A$104,'QB_Funds Analysis raw'!$B$6:$AC$104))))</f>
        <v>0</v>
      </c>
      <c r="E43" s="142" cm="1">
        <f t="array" ref="E43">IF(ISERROR(_xlfn.XLOOKUP(E$5,'QB_Funds Analysis raw'!$B$5:$AC$5, _xlfn.XLOOKUP($A43,'QB_Funds Analysis raw'!$A$6:$A$104,'QB_Funds Analysis raw'!$B$6:$AC$104))),0,(_xlfn.XLOOKUP(E$5,'QB_Funds Analysis raw'!$B$5:$AC$5, _xlfn.XLOOKUP($A43,'QB_Funds Analysis raw'!$A$6:$A$104,'QB_Funds Analysis raw'!$B$6:$AC$104))))</f>
        <v>0</v>
      </c>
      <c r="F43" s="142" cm="1">
        <f t="array" ref="F43">IF(ISERROR(_xlfn.XLOOKUP(F$5,'QB_Funds Analysis raw'!$B$5:$AC$5, _xlfn.XLOOKUP($A43,'QB_Funds Analysis raw'!$A$6:$A$104,'QB_Funds Analysis raw'!$B$6:$AC$104))),0,(_xlfn.XLOOKUP(F$5,'QB_Funds Analysis raw'!$B$5:$AC$5, _xlfn.XLOOKUP($A43,'QB_Funds Analysis raw'!$A$6:$A$104,'QB_Funds Analysis raw'!$B$6:$AC$104))))</f>
        <v>0</v>
      </c>
      <c r="G43" s="142" cm="1">
        <f t="array" ref="G43">IF(ISERROR(_xlfn.XLOOKUP(G$5,'QB_Funds Analysis raw'!$B$5:$AC$5, _xlfn.XLOOKUP($A43,'QB_Funds Analysis raw'!$A$6:$A$104,'QB_Funds Analysis raw'!$B$6:$AC$104))),0,(_xlfn.XLOOKUP(G$5,'QB_Funds Analysis raw'!$B$5:$AC$5, _xlfn.XLOOKUP($A43,'QB_Funds Analysis raw'!$A$6:$A$104,'QB_Funds Analysis raw'!$B$6:$AC$104))))</f>
        <v>0</v>
      </c>
      <c r="H43" s="142" cm="1">
        <f t="array" ref="H43">IF(ISERROR(_xlfn.XLOOKUP(H$5,'QB_Funds Analysis raw'!$B$5:$AC$5, _xlfn.XLOOKUP($A43,'QB_Funds Analysis raw'!$A$6:$A$104,'QB_Funds Analysis raw'!$B$6:$AC$104))),0,(_xlfn.XLOOKUP(H$5,'QB_Funds Analysis raw'!$B$5:$AC$5, _xlfn.XLOOKUP($A43,'QB_Funds Analysis raw'!$A$6:$A$104,'QB_Funds Analysis raw'!$B$6:$AC$104))))</f>
        <v>0</v>
      </c>
      <c r="I43" s="142" cm="1">
        <f t="array" ref="I43">IF(ISERROR(_xlfn.XLOOKUP(I$5,'QB_Funds Analysis raw'!$B$5:$AC$5, _xlfn.XLOOKUP($A43,'QB_Funds Analysis raw'!$A$6:$A$104,'QB_Funds Analysis raw'!$B$6:$AC$104))),0,(_xlfn.XLOOKUP(I$5,'QB_Funds Analysis raw'!$B$5:$AC$5, _xlfn.XLOOKUP($A43,'QB_Funds Analysis raw'!$A$6:$A$104,'QB_Funds Analysis raw'!$B$6:$AC$104))))</f>
        <v>0</v>
      </c>
      <c r="J43" s="142" cm="1">
        <f t="array" ref="J43">IF(ISERROR(_xlfn.XLOOKUP(J$5,'QB_Funds Analysis raw'!$B$5:$AC$5, _xlfn.XLOOKUP($A43,'QB_Funds Analysis raw'!$A$6:$A$104,'QB_Funds Analysis raw'!$B$6:$AC$104))),0,(_xlfn.XLOOKUP(J$5,'QB_Funds Analysis raw'!$B$5:$AC$5, _xlfn.XLOOKUP($A43,'QB_Funds Analysis raw'!$A$6:$A$104,'QB_Funds Analysis raw'!$B$6:$AC$104))))</f>
        <v>0</v>
      </c>
      <c r="K43" s="252" cm="1">
        <f t="array" ref="K43">IF(ISERROR(_xlfn.XLOOKUP(K$5,'QB_Funds Analysis raw'!$B$5:$AC$5, _xlfn.XLOOKUP($A43,'QB_Funds Analysis raw'!$A$6:$A$104,'QB_Funds Analysis raw'!$B$6:$AC$104))),0,(_xlfn.XLOOKUP(K$5,'QB_Funds Analysis raw'!$B$5:$AC$5, _xlfn.XLOOKUP($A43,'QB_Funds Analysis raw'!$A$6:$A$104,'QB_Funds Analysis raw'!$B$6:$AC$104))))</f>
        <v>0</v>
      </c>
      <c r="L43" s="142" cm="1">
        <f t="array" ref="L43">IF(ISERROR(_xlfn.XLOOKUP(L$5,'QB_Funds Analysis raw'!$B$5:$AC$5, _xlfn.XLOOKUP($A43,'QB_Funds Analysis raw'!$A$6:$A$104,'QB_Funds Analysis raw'!$B$6:$AC$104))),0,(_xlfn.XLOOKUP(L$5,'QB_Funds Analysis raw'!$B$5:$AC$5, _xlfn.XLOOKUP($A43,'QB_Funds Analysis raw'!$A$6:$A$104,'QB_Funds Analysis raw'!$B$6:$AC$104))))</f>
        <v>0</v>
      </c>
      <c r="M43" s="142" cm="1">
        <f t="array" ref="M43">IF(ISERROR(_xlfn.XLOOKUP(M$5,'QB_Funds Analysis raw'!$B$5:$AC$5, _xlfn.XLOOKUP($A43,'QB_Funds Analysis raw'!$A$6:$A$104,'QB_Funds Analysis raw'!$B$6:$AC$104))),0,(_xlfn.XLOOKUP(M$5,'QB_Funds Analysis raw'!$B$5:$AC$5, _xlfn.XLOOKUP($A43,'QB_Funds Analysis raw'!$A$6:$A$104,'QB_Funds Analysis raw'!$B$6:$AC$104))))</f>
        <v>0</v>
      </c>
      <c r="N43" s="252" cm="1">
        <f t="array" ref="N43">IF(ISERROR(_xlfn.XLOOKUP(N$5,'QB_Funds Analysis raw'!$B$5:$AC$5, _xlfn.XLOOKUP($A43,'QB_Funds Analysis raw'!$A$6:$A$104,'QB_Funds Analysis raw'!$B$6:$AC$104))),0,(_xlfn.XLOOKUP(N$5,'QB_Funds Analysis raw'!$B$5:$AC$5, _xlfn.XLOOKUP($A43,'QB_Funds Analysis raw'!$A$6:$A$104,'QB_Funds Analysis raw'!$B$6:$AC$104))))</f>
        <v>0</v>
      </c>
      <c r="O43" s="252" cm="1">
        <f t="array" ref="O43">IF(ISERROR(_xlfn.XLOOKUP(O$5,'QB_Funds Analysis raw'!$B$5:$AC$5, _xlfn.XLOOKUP($A43,'QB_Funds Analysis raw'!$A$6:$A$104,'QB_Funds Analysis raw'!$B$6:$AC$104))),0,(_xlfn.XLOOKUP(O$5,'QB_Funds Analysis raw'!$B$5:$AC$5, _xlfn.XLOOKUP($A43,'QB_Funds Analysis raw'!$A$6:$A$104,'QB_Funds Analysis raw'!$B$6:$AC$104))))</f>
        <v>0</v>
      </c>
      <c r="P43" s="142" cm="1">
        <f t="array" ref="P43">IF(ISERROR(_xlfn.XLOOKUP(P$5,'QB_Funds Analysis raw'!$B$5:$AC$5, _xlfn.XLOOKUP($A43,'QB_Funds Analysis raw'!$A$6:$A$104,'QB_Funds Analysis raw'!$B$6:$AC$104))),0,(_xlfn.XLOOKUP(P$5,'QB_Funds Analysis raw'!$B$5:$AC$5, _xlfn.XLOOKUP($A43,'QB_Funds Analysis raw'!$A$6:$A$104,'QB_Funds Analysis raw'!$B$6:$AC$104))))</f>
        <v>0</v>
      </c>
      <c r="Q43" s="247" cm="1">
        <f t="array" ref="Q43">IF(ISERROR(_xlfn.XLOOKUP(Q$5,'QB_Funds Analysis raw'!$B$5:$AC$5, _xlfn.XLOOKUP($A43,'QB_Funds Analysis raw'!$A$6:$A$104,'QB_Funds Analysis raw'!$B$6:$AC$104))),0,(_xlfn.XLOOKUP(Q$5,'QB_Funds Analysis raw'!$B$5:$AC$5, _xlfn.XLOOKUP($A43,'QB_Funds Analysis raw'!$A$6:$A$104,'QB_Funds Analysis raw'!$B$6:$AC$104))))</f>
        <v>0</v>
      </c>
      <c r="R43" s="142" cm="1">
        <f t="array" ref="R43">IF(ISERROR(_xlfn.XLOOKUP(R$5,'QB_Funds Analysis raw'!$B$5:$AC$5, _xlfn.XLOOKUP($A43,'QB_Funds Analysis raw'!$A$6:$A$104,'QB_Funds Analysis raw'!$B$6:$AC$104))),0,(_xlfn.XLOOKUP(R$5,'QB_Funds Analysis raw'!$B$5:$AC$5, _xlfn.XLOOKUP($A43,'QB_Funds Analysis raw'!$A$6:$A$104,'QB_Funds Analysis raw'!$B$6:$AC$104))))</f>
        <v>0</v>
      </c>
      <c r="S43" s="142" cm="1">
        <f t="array" ref="S43">IF(ISERROR(_xlfn.XLOOKUP(S$5,'QB_Funds Analysis raw'!$B$5:$AC$5, _xlfn.XLOOKUP($A43,'QB_Funds Analysis raw'!$A$6:$A$104,'QB_Funds Analysis raw'!$B$6:$AC$104))),0,(_xlfn.XLOOKUP(S$5,'QB_Funds Analysis raw'!$B$5:$AC$5, _xlfn.XLOOKUP($A43,'QB_Funds Analysis raw'!$A$6:$A$104,'QB_Funds Analysis raw'!$B$6:$AC$104))))</f>
        <v>0</v>
      </c>
      <c r="T43" s="142" cm="1">
        <f t="array" ref="T43">IF(ISERROR(_xlfn.XLOOKUP(T$5,'QB_Funds Analysis raw'!$B$5:$AC$5, _xlfn.XLOOKUP($A43,'QB_Funds Analysis raw'!$A$6:$A$104,'QB_Funds Analysis raw'!$B$6:$AC$104))),0,(_xlfn.XLOOKUP(T$5,'QB_Funds Analysis raw'!$B$5:$AC$5, _xlfn.XLOOKUP($A43,'QB_Funds Analysis raw'!$A$6:$A$104,'QB_Funds Analysis raw'!$B$6:$AC$104))))</f>
        <v>0</v>
      </c>
      <c r="U43" s="142" cm="1">
        <f t="array" ref="U43">IF(ISERROR(_xlfn.XLOOKUP(U$5,'QB_Funds Analysis raw'!$B$5:$AC$5, _xlfn.XLOOKUP($A43,'QB_Funds Analysis raw'!$A$6:$A$104,'QB_Funds Analysis raw'!$B$6:$AC$104))),0,(_xlfn.XLOOKUP(U$5,'QB_Funds Analysis raw'!$B$5:$AC$5, _xlfn.XLOOKUP($A43,'QB_Funds Analysis raw'!$A$6:$A$104,'QB_Funds Analysis raw'!$B$6:$AC$104))))</f>
        <v>0</v>
      </c>
      <c r="V43" s="142" cm="1">
        <f t="array" ref="V43">IF(ISERROR(_xlfn.XLOOKUP(V$5,'QB_Funds Analysis raw'!$B$5:$AC$5, _xlfn.XLOOKUP($A43,'QB_Funds Analysis raw'!$A$6:$A$104,'QB_Funds Analysis raw'!$B$6:$AC$104))),0,(_xlfn.XLOOKUP(V$5,'QB_Funds Analysis raw'!$B$5:$AC$5, _xlfn.XLOOKUP($A43,'QB_Funds Analysis raw'!$A$6:$A$104,'QB_Funds Analysis raw'!$B$6:$AC$104))))</f>
        <v>0</v>
      </c>
      <c r="W43" s="142" cm="1">
        <f t="array" ref="W43">IF(ISERROR(_xlfn.XLOOKUP(W$5,'QB_Funds Analysis raw'!$B$5:$AC$5, _xlfn.XLOOKUP($A43,'QB_Funds Analysis raw'!$A$6:$A$104,'QB_Funds Analysis raw'!$B$6:$AC$104))),0,(_xlfn.XLOOKUP(W$5,'QB_Funds Analysis raw'!$B$5:$AC$5, _xlfn.XLOOKUP($A43,'QB_Funds Analysis raw'!$A$6:$A$104,'QB_Funds Analysis raw'!$B$6:$AC$104))))</f>
        <v>0</v>
      </c>
      <c r="X43" s="142" cm="1">
        <f t="array" ref="X43">IF(ISERROR(_xlfn.XLOOKUP(X$5,'QB_Funds Analysis raw'!$B$5:$AC$5, _xlfn.XLOOKUP($A43,'QB_Funds Analysis raw'!$A$6:$A$104,'QB_Funds Analysis raw'!$B$6:$AC$104))),0,(_xlfn.XLOOKUP(X$5,'QB_Funds Analysis raw'!$B$5:$AC$5, _xlfn.XLOOKUP($A43,'QB_Funds Analysis raw'!$A$6:$A$104,'QB_Funds Analysis raw'!$B$6:$AC$104))))</f>
        <v>0</v>
      </c>
      <c r="Y43" s="142" cm="1">
        <f t="array" ref="Y43">IF(ISERROR(_xlfn.XLOOKUP(Y$5,'QB_Funds Analysis raw'!$B$5:$AC$5, _xlfn.XLOOKUP($A43,'QB_Funds Analysis raw'!$A$6:$A$104,'QB_Funds Analysis raw'!$B$6:$AC$104))),0,(_xlfn.XLOOKUP(Y$5,'QB_Funds Analysis raw'!$B$5:$AC$5, _xlfn.XLOOKUP($A43,'QB_Funds Analysis raw'!$A$6:$A$104,'QB_Funds Analysis raw'!$B$6:$AC$104))))</f>
        <v>0</v>
      </c>
      <c r="Z43" s="142" cm="1">
        <f t="array" ref="Z43">IF(ISERROR(_xlfn.XLOOKUP(Z$5,'QB_Funds Analysis raw'!$B$5:$AC$5, _xlfn.XLOOKUP($A43,'QB_Funds Analysis raw'!$A$6:$A$104,'QB_Funds Analysis raw'!$B$6:$AC$104))),0,(_xlfn.XLOOKUP(Z$5,'QB_Funds Analysis raw'!$B$5:$AC$5, _xlfn.XLOOKUP($A43,'QB_Funds Analysis raw'!$A$6:$A$104,'QB_Funds Analysis raw'!$B$6:$AC$104))))</f>
        <v>0</v>
      </c>
      <c r="AA43" s="142" cm="1">
        <f t="array" ref="AA43">IF(ISERROR(_xlfn.XLOOKUP(AA$5,'QB_Funds Analysis raw'!$B$5:$AC$5, _xlfn.XLOOKUP($A43,'QB_Funds Analysis raw'!$A$6:$A$104,'QB_Funds Analysis raw'!$B$6:$AC$104))),0,(_xlfn.XLOOKUP(AA$5,'QB_Funds Analysis raw'!$B$5:$AC$5, _xlfn.XLOOKUP($A43,'QB_Funds Analysis raw'!$A$6:$A$104,'QB_Funds Analysis raw'!$B$6:$AC$104))))</f>
        <v>0</v>
      </c>
      <c r="AB43" s="142" cm="1">
        <f t="array" ref="AB43">IF(ISERROR(_xlfn.XLOOKUP(AB$5,'QB_Funds Analysis raw'!$B$5:$AC$5, _xlfn.XLOOKUP($A43,'QB_Funds Analysis raw'!$A$6:$A$104,'QB_Funds Analysis raw'!$B$6:$AC$104))),0,(_xlfn.XLOOKUP(AB$5,'QB_Funds Analysis raw'!$B$5:$AC$5, _xlfn.XLOOKUP($A43,'QB_Funds Analysis raw'!$A$6:$A$104,'QB_Funds Analysis raw'!$B$6:$AC$104))))</f>
        <v>2.2000000000000002</v>
      </c>
      <c r="AC43" s="142" cm="1">
        <f t="array" ref="AC43">IF(ISERROR(_xlfn.XLOOKUP(AC$5,'QB_Funds Analysis raw'!$B$5:$AC$5, _xlfn.XLOOKUP($A43,'QB_Funds Analysis raw'!$A$6:$A$104,'QB_Funds Analysis raw'!$B$6:$AC$104))),0,(_xlfn.XLOOKUP(AC$5,'QB_Funds Analysis raw'!$B$5:$AC$5, _xlfn.XLOOKUP($A43,'QB_Funds Analysis raw'!$A$6:$A$104,'QB_Funds Analysis raw'!$B$6:$AC$104))))</f>
        <v>2.2000000000000002</v>
      </c>
      <c r="AD43" s="167">
        <f t="shared" si="13"/>
        <v>2.2000000000000002</v>
      </c>
      <c r="AE43" s="167">
        <f t="shared" si="4"/>
        <v>0</v>
      </c>
    </row>
    <row r="44" spans="1:31" ht="20.25" customHeight="1" x14ac:dyDescent="0.25">
      <c r="A44" s="2" t="s">
        <v>363</v>
      </c>
      <c r="B44" s="142" cm="1">
        <f t="array" ref="B44">IF(ISERROR(_xlfn.XLOOKUP(B$5,'QB_Funds Analysis raw'!$B$5:$AC$5, _xlfn.XLOOKUP($A44,'QB_Funds Analysis raw'!$A$6:$A$104,'QB_Funds Analysis raw'!$B$6:$AC$104))),0,(_xlfn.XLOOKUP(B$5,'QB_Funds Analysis raw'!$B$5:$AC$5, _xlfn.XLOOKUP($A44,'QB_Funds Analysis raw'!$A$6:$A$104,'QB_Funds Analysis raw'!$B$6:$AC$104))))</f>
        <v>0</v>
      </c>
      <c r="C44" s="142" cm="1">
        <f t="array" ref="C44">IF(ISERROR(_xlfn.XLOOKUP(C$5,'QB_Funds Analysis raw'!$B$5:$AC$5, _xlfn.XLOOKUP($A44,'QB_Funds Analysis raw'!$A$6:$A$104,'QB_Funds Analysis raw'!$B$6:$AC$104))),0,(_xlfn.XLOOKUP(C$5,'QB_Funds Analysis raw'!$B$5:$AC$5, _xlfn.XLOOKUP($A44,'QB_Funds Analysis raw'!$A$6:$A$104,'QB_Funds Analysis raw'!$B$6:$AC$104))))</f>
        <v>0</v>
      </c>
      <c r="D44" s="252" cm="1">
        <f t="array" ref="D44">IF(ISERROR(_xlfn.XLOOKUP(D$5,'QB_Funds Analysis raw'!$B$5:$AC$5, _xlfn.XLOOKUP($A44,'QB_Funds Analysis raw'!$A$6:$A$104,'QB_Funds Analysis raw'!$B$6:$AC$104))),0,(_xlfn.XLOOKUP(D$5,'QB_Funds Analysis raw'!$B$5:$AC$5, _xlfn.XLOOKUP($A44,'QB_Funds Analysis raw'!$A$6:$A$104,'QB_Funds Analysis raw'!$B$6:$AC$104))))</f>
        <v>0</v>
      </c>
      <c r="E44" s="142" cm="1">
        <f t="array" ref="E44">IF(ISERROR(_xlfn.XLOOKUP(E$5,'QB_Funds Analysis raw'!$B$5:$AC$5, _xlfn.XLOOKUP($A44,'QB_Funds Analysis raw'!$A$6:$A$104,'QB_Funds Analysis raw'!$B$6:$AC$104))),0,(_xlfn.XLOOKUP(E$5,'QB_Funds Analysis raw'!$B$5:$AC$5, _xlfn.XLOOKUP($A44,'QB_Funds Analysis raw'!$A$6:$A$104,'QB_Funds Analysis raw'!$B$6:$AC$104))))</f>
        <v>0</v>
      </c>
      <c r="F44" s="142" cm="1">
        <f t="array" ref="F44">IF(ISERROR(_xlfn.XLOOKUP(F$5,'QB_Funds Analysis raw'!$B$5:$AC$5, _xlfn.XLOOKUP($A44,'QB_Funds Analysis raw'!$A$6:$A$104,'QB_Funds Analysis raw'!$B$6:$AC$104))),0,(_xlfn.XLOOKUP(F$5,'QB_Funds Analysis raw'!$B$5:$AC$5, _xlfn.XLOOKUP($A44,'QB_Funds Analysis raw'!$A$6:$A$104,'QB_Funds Analysis raw'!$B$6:$AC$104))))</f>
        <v>0</v>
      </c>
      <c r="G44" s="142" cm="1">
        <f t="array" ref="G44">IF(ISERROR(_xlfn.XLOOKUP(G$5,'QB_Funds Analysis raw'!$B$5:$AC$5, _xlfn.XLOOKUP($A44,'QB_Funds Analysis raw'!$A$6:$A$104,'QB_Funds Analysis raw'!$B$6:$AC$104))),0,(_xlfn.XLOOKUP(G$5,'QB_Funds Analysis raw'!$B$5:$AC$5, _xlfn.XLOOKUP($A44,'QB_Funds Analysis raw'!$A$6:$A$104,'QB_Funds Analysis raw'!$B$6:$AC$104))))</f>
        <v>0</v>
      </c>
      <c r="H44" s="142" cm="1">
        <f t="array" ref="H44">IF(ISERROR(_xlfn.XLOOKUP(H$5,'QB_Funds Analysis raw'!$B$5:$AC$5, _xlfn.XLOOKUP($A44,'QB_Funds Analysis raw'!$A$6:$A$104,'QB_Funds Analysis raw'!$B$6:$AC$104))),0,(_xlfn.XLOOKUP(H$5,'QB_Funds Analysis raw'!$B$5:$AC$5, _xlfn.XLOOKUP($A44,'QB_Funds Analysis raw'!$A$6:$A$104,'QB_Funds Analysis raw'!$B$6:$AC$104))))</f>
        <v>0</v>
      </c>
      <c r="I44" s="142" cm="1">
        <f t="array" ref="I44">IF(ISERROR(_xlfn.XLOOKUP(I$5,'QB_Funds Analysis raw'!$B$5:$AC$5, _xlfn.XLOOKUP($A44,'QB_Funds Analysis raw'!$A$6:$A$104,'QB_Funds Analysis raw'!$B$6:$AC$104))),0,(_xlfn.XLOOKUP(I$5,'QB_Funds Analysis raw'!$B$5:$AC$5, _xlfn.XLOOKUP($A44,'QB_Funds Analysis raw'!$A$6:$A$104,'QB_Funds Analysis raw'!$B$6:$AC$104))))</f>
        <v>0</v>
      </c>
      <c r="J44" s="142" cm="1">
        <f t="array" ref="J44">IF(ISERROR(_xlfn.XLOOKUP(J$5,'QB_Funds Analysis raw'!$B$5:$AC$5, _xlfn.XLOOKUP($A44,'QB_Funds Analysis raw'!$A$6:$A$104,'QB_Funds Analysis raw'!$B$6:$AC$104))),0,(_xlfn.XLOOKUP(J$5,'QB_Funds Analysis raw'!$B$5:$AC$5, _xlfn.XLOOKUP($A44,'QB_Funds Analysis raw'!$A$6:$A$104,'QB_Funds Analysis raw'!$B$6:$AC$104))))</f>
        <v>0</v>
      </c>
      <c r="K44" s="252" cm="1">
        <f t="array" ref="K44">IF(ISERROR(_xlfn.XLOOKUP(K$5,'QB_Funds Analysis raw'!$B$5:$AC$5, _xlfn.XLOOKUP($A44,'QB_Funds Analysis raw'!$A$6:$A$104,'QB_Funds Analysis raw'!$B$6:$AC$104))),0,(_xlfn.XLOOKUP(K$5,'QB_Funds Analysis raw'!$B$5:$AC$5, _xlfn.XLOOKUP($A44,'QB_Funds Analysis raw'!$A$6:$A$104,'QB_Funds Analysis raw'!$B$6:$AC$104))))</f>
        <v>0</v>
      </c>
      <c r="L44" s="142" cm="1">
        <f t="array" ref="L44">IF(ISERROR(_xlfn.XLOOKUP(L$5,'QB_Funds Analysis raw'!$B$5:$AC$5, _xlfn.XLOOKUP($A44,'QB_Funds Analysis raw'!$A$6:$A$104,'QB_Funds Analysis raw'!$B$6:$AC$104))),0,(_xlfn.XLOOKUP(L$5,'QB_Funds Analysis raw'!$B$5:$AC$5, _xlfn.XLOOKUP($A44,'QB_Funds Analysis raw'!$A$6:$A$104,'QB_Funds Analysis raw'!$B$6:$AC$104))))</f>
        <v>0</v>
      </c>
      <c r="M44" s="142" cm="1">
        <f t="array" ref="M44">IF(ISERROR(_xlfn.XLOOKUP(M$5,'QB_Funds Analysis raw'!$B$5:$AC$5, _xlfn.XLOOKUP($A44,'QB_Funds Analysis raw'!$A$6:$A$104,'QB_Funds Analysis raw'!$B$6:$AC$104))),0,(_xlfn.XLOOKUP(M$5,'QB_Funds Analysis raw'!$B$5:$AC$5, _xlfn.XLOOKUP($A44,'QB_Funds Analysis raw'!$A$6:$A$104,'QB_Funds Analysis raw'!$B$6:$AC$104))))</f>
        <v>0</v>
      </c>
      <c r="N44" s="252" cm="1">
        <f t="array" ref="N44">IF(ISERROR(_xlfn.XLOOKUP(N$5,'QB_Funds Analysis raw'!$B$5:$AC$5, _xlfn.XLOOKUP($A44,'QB_Funds Analysis raw'!$A$6:$A$104,'QB_Funds Analysis raw'!$B$6:$AC$104))),0,(_xlfn.XLOOKUP(N$5,'QB_Funds Analysis raw'!$B$5:$AC$5, _xlfn.XLOOKUP($A44,'QB_Funds Analysis raw'!$A$6:$A$104,'QB_Funds Analysis raw'!$B$6:$AC$104))))</f>
        <v>0</v>
      </c>
      <c r="O44" s="252" cm="1">
        <f t="array" ref="O44">IF(ISERROR(_xlfn.XLOOKUP(O$5,'QB_Funds Analysis raw'!$B$5:$AC$5, _xlfn.XLOOKUP($A44,'QB_Funds Analysis raw'!$A$6:$A$104,'QB_Funds Analysis raw'!$B$6:$AC$104))),0,(_xlfn.XLOOKUP(O$5,'QB_Funds Analysis raw'!$B$5:$AC$5, _xlfn.XLOOKUP($A44,'QB_Funds Analysis raw'!$A$6:$A$104,'QB_Funds Analysis raw'!$B$6:$AC$104))))</f>
        <v>0</v>
      </c>
      <c r="P44" s="142" cm="1">
        <f t="array" ref="P44">IF(ISERROR(_xlfn.XLOOKUP(P$5,'QB_Funds Analysis raw'!$B$5:$AC$5, _xlfn.XLOOKUP($A44,'QB_Funds Analysis raw'!$A$6:$A$104,'QB_Funds Analysis raw'!$B$6:$AC$104))),0,(_xlfn.XLOOKUP(P$5,'QB_Funds Analysis raw'!$B$5:$AC$5, _xlfn.XLOOKUP($A44,'QB_Funds Analysis raw'!$A$6:$A$104,'QB_Funds Analysis raw'!$B$6:$AC$104))))</f>
        <v>0</v>
      </c>
      <c r="Q44" s="247" cm="1">
        <f t="array" ref="Q44">IF(ISERROR(_xlfn.XLOOKUP(Q$5,'QB_Funds Analysis raw'!$B$5:$AC$5, _xlfn.XLOOKUP($A44,'QB_Funds Analysis raw'!$A$6:$A$104,'QB_Funds Analysis raw'!$B$6:$AC$104))),0,(_xlfn.XLOOKUP(Q$5,'QB_Funds Analysis raw'!$B$5:$AC$5, _xlfn.XLOOKUP($A44,'QB_Funds Analysis raw'!$A$6:$A$104,'QB_Funds Analysis raw'!$B$6:$AC$104))))</f>
        <v>0</v>
      </c>
      <c r="R44" s="142" cm="1">
        <f t="array" ref="R44">IF(ISERROR(_xlfn.XLOOKUP(R$5,'QB_Funds Analysis raw'!$B$5:$AC$5, _xlfn.XLOOKUP($A44,'QB_Funds Analysis raw'!$A$6:$A$104,'QB_Funds Analysis raw'!$B$6:$AC$104))),0,(_xlfn.XLOOKUP(R$5,'QB_Funds Analysis raw'!$B$5:$AC$5, _xlfn.XLOOKUP($A44,'QB_Funds Analysis raw'!$A$6:$A$104,'QB_Funds Analysis raw'!$B$6:$AC$104))))</f>
        <v>0</v>
      </c>
      <c r="S44" s="142" cm="1">
        <f t="array" ref="S44">IF(ISERROR(_xlfn.XLOOKUP(S$5,'QB_Funds Analysis raw'!$B$5:$AC$5, _xlfn.XLOOKUP($A44,'QB_Funds Analysis raw'!$A$6:$A$104,'QB_Funds Analysis raw'!$B$6:$AC$104))),0,(_xlfn.XLOOKUP(S$5,'QB_Funds Analysis raw'!$B$5:$AC$5, _xlfn.XLOOKUP($A44,'QB_Funds Analysis raw'!$A$6:$A$104,'QB_Funds Analysis raw'!$B$6:$AC$104))))</f>
        <v>0</v>
      </c>
      <c r="T44" s="142" cm="1">
        <f t="array" ref="T44">IF(ISERROR(_xlfn.XLOOKUP(T$5,'QB_Funds Analysis raw'!$B$5:$AC$5, _xlfn.XLOOKUP($A44,'QB_Funds Analysis raw'!$A$6:$A$104,'QB_Funds Analysis raw'!$B$6:$AC$104))),0,(_xlfn.XLOOKUP(T$5,'QB_Funds Analysis raw'!$B$5:$AC$5, _xlfn.XLOOKUP($A44,'QB_Funds Analysis raw'!$A$6:$A$104,'QB_Funds Analysis raw'!$B$6:$AC$104))))</f>
        <v>0</v>
      </c>
      <c r="U44" s="142" cm="1">
        <f t="array" ref="U44">IF(ISERROR(_xlfn.XLOOKUP(U$5,'QB_Funds Analysis raw'!$B$5:$AC$5, _xlfn.XLOOKUP($A44,'QB_Funds Analysis raw'!$A$6:$A$104,'QB_Funds Analysis raw'!$B$6:$AC$104))),0,(_xlfn.XLOOKUP(U$5,'QB_Funds Analysis raw'!$B$5:$AC$5, _xlfn.XLOOKUP($A44,'QB_Funds Analysis raw'!$A$6:$A$104,'QB_Funds Analysis raw'!$B$6:$AC$104))))</f>
        <v>0</v>
      </c>
      <c r="V44" s="142" cm="1">
        <f t="array" ref="V44">IF(ISERROR(_xlfn.XLOOKUP(V$5,'QB_Funds Analysis raw'!$B$5:$AC$5, _xlfn.XLOOKUP($A44,'QB_Funds Analysis raw'!$A$6:$A$104,'QB_Funds Analysis raw'!$B$6:$AC$104))),0,(_xlfn.XLOOKUP(V$5,'QB_Funds Analysis raw'!$B$5:$AC$5, _xlfn.XLOOKUP($A44,'QB_Funds Analysis raw'!$A$6:$A$104,'QB_Funds Analysis raw'!$B$6:$AC$104))))</f>
        <v>0</v>
      </c>
      <c r="W44" s="142" cm="1">
        <f t="array" ref="W44">IF(ISERROR(_xlfn.XLOOKUP(W$5,'QB_Funds Analysis raw'!$B$5:$AC$5, _xlfn.XLOOKUP($A44,'QB_Funds Analysis raw'!$A$6:$A$104,'QB_Funds Analysis raw'!$B$6:$AC$104))),0,(_xlfn.XLOOKUP(W$5,'QB_Funds Analysis raw'!$B$5:$AC$5, _xlfn.XLOOKUP($A44,'QB_Funds Analysis raw'!$A$6:$A$104,'QB_Funds Analysis raw'!$B$6:$AC$104))))</f>
        <v>0</v>
      </c>
      <c r="X44" s="142" cm="1">
        <f t="array" ref="X44">IF(ISERROR(_xlfn.XLOOKUP(X$5,'QB_Funds Analysis raw'!$B$5:$AC$5, _xlfn.XLOOKUP($A44,'QB_Funds Analysis raw'!$A$6:$A$104,'QB_Funds Analysis raw'!$B$6:$AC$104))),0,(_xlfn.XLOOKUP(X$5,'QB_Funds Analysis raw'!$B$5:$AC$5, _xlfn.XLOOKUP($A44,'QB_Funds Analysis raw'!$A$6:$A$104,'QB_Funds Analysis raw'!$B$6:$AC$104))))</f>
        <v>0</v>
      </c>
      <c r="Y44" s="142" cm="1">
        <f t="array" ref="Y44">IF(ISERROR(_xlfn.XLOOKUP(Y$5,'QB_Funds Analysis raw'!$B$5:$AC$5, _xlfn.XLOOKUP($A44,'QB_Funds Analysis raw'!$A$6:$A$104,'QB_Funds Analysis raw'!$B$6:$AC$104))),0,(_xlfn.XLOOKUP(Y$5,'QB_Funds Analysis raw'!$B$5:$AC$5, _xlfn.XLOOKUP($A44,'QB_Funds Analysis raw'!$A$6:$A$104,'QB_Funds Analysis raw'!$B$6:$AC$104))))</f>
        <v>0</v>
      </c>
      <c r="Z44" s="142" cm="1">
        <f t="array" ref="Z44">IF(ISERROR(_xlfn.XLOOKUP(Z$5,'QB_Funds Analysis raw'!$B$5:$AC$5, _xlfn.XLOOKUP($A44,'QB_Funds Analysis raw'!$A$6:$A$104,'QB_Funds Analysis raw'!$B$6:$AC$104))),0,(_xlfn.XLOOKUP(Z$5,'QB_Funds Analysis raw'!$B$5:$AC$5, _xlfn.XLOOKUP($A44,'QB_Funds Analysis raw'!$A$6:$A$104,'QB_Funds Analysis raw'!$B$6:$AC$104))))</f>
        <v>0</v>
      </c>
      <c r="AA44" s="142" cm="1">
        <f t="array" ref="AA44">IF(ISERROR(_xlfn.XLOOKUP(AA$5,'QB_Funds Analysis raw'!$B$5:$AC$5, _xlfn.XLOOKUP($A44,'QB_Funds Analysis raw'!$A$6:$A$104,'QB_Funds Analysis raw'!$B$6:$AC$104))),0,(_xlfn.XLOOKUP(AA$5,'QB_Funds Analysis raw'!$B$5:$AC$5, _xlfn.XLOOKUP($A44,'QB_Funds Analysis raw'!$A$6:$A$104,'QB_Funds Analysis raw'!$B$6:$AC$104))))</f>
        <v>0</v>
      </c>
      <c r="AB44" s="142" cm="1">
        <f t="array" ref="AB44">IF(ISERROR(_xlfn.XLOOKUP(AB$5,'QB_Funds Analysis raw'!$B$5:$AC$5, _xlfn.XLOOKUP($A44,'QB_Funds Analysis raw'!$A$6:$A$104,'QB_Funds Analysis raw'!$B$6:$AC$104))),0,(_xlfn.XLOOKUP(AB$5,'QB_Funds Analysis raw'!$B$5:$AC$5, _xlfn.XLOOKUP($A44,'QB_Funds Analysis raw'!$A$6:$A$104,'QB_Funds Analysis raw'!$B$6:$AC$104))))</f>
        <v>535</v>
      </c>
      <c r="AC44" s="142" cm="1">
        <f t="array" ref="AC44">IF(ISERROR(_xlfn.XLOOKUP(AC$5,'QB_Funds Analysis raw'!$B$5:$AC$5, _xlfn.XLOOKUP($A44,'QB_Funds Analysis raw'!$A$6:$A$104,'QB_Funds Analysis raw'!$B$6:$AC$104))),0,(_xlfn.XLOOKUP(AC$5,'QB_Funds Analysis raw'!$B$5:$AC$5, _xlfn.XLOOKUP($A44,'QB_Funds Analysis raw'!$A$6:$A$104,'QB_Funds Analysis raw'!$B$6:$AC$104))))</f>
        <v>535</v>
      </c>
      <c r="AD44" s="167">
        <f t="shared" si="13"/>
        <v>535</v>
      </c>
      <c r="AE44" s="167">
        <f t="shared" si="4"/>
        <v>0</v>
      </c>
    </row>
    <row r="45" spans="1:31" ht="20.25" customHeight="1" x14ac:dyDescent="0.25">
      <c r="A45" s="2" t="s">
        <v>364</v>
      </c>
      <c r="B45" s="142" cm="1">
        <f t="array" ref="B45">IF(ISERROR(_xlfn.XLOOKUP(B$5,'QB_Funds Analysis raw'!$B$5:$AC$5, _xlfn.XLOOKUP($A45,'QB_Funds Analysis raw'!$A$6:$A$104,'QB_Funds Analysis raw'!$B$6:$AC$104))),0,(_xlfn.XLOOKUP(B$5,'QB_Funds Analysis raw'!$B$5:$AC$5, _xlfn.XLOOKUP($A45,'QB_Funds Analysis raw'!$A$6:$A$104,'QB_Funds Analysis raw'!$B$6:$AC$104))))</f>
        <v>0</v>
      </c>
      <c r="C45" s="142" cm="1">
        <f t="array" ref="C45">IF(ISERROR(_xlfn.XLOOKUP(C$5,'QB_Funds Analysis raw'!$B$5:$AC$5, _xlfn.XLOOKUP($A45,'QB_Funds Analysis raw'!$A$6:$A$104,'QB_Funds Analysis raw'!$B$6:$AC$104))),0,(_xlfn.XLOOKUP(C$5,'QB_Funds Analysis raw'!$B$5:$AC$5, _xlfn.XLOOKUP($A45,'QB_Funds Analysis raw'!$A$6:$A$104,'QB_Funds Analysis raw'!$B$6:$AC$104))))</f>
        <v>0</v>
      </c>
      <c r="D45" s="252" cm="1">
        <f t="array" ref="D45">IF(ISERROR(_xlfn.XLOOKUP(D$5,'QB_Funds Analysis raw'!$B$5:$AC$5, _xlfn.XLOOKUP($A45,'QB_Funds Analysis raw'!$A$6:$A$104,'QB_Funds Analysis raw'!$B$6:$AC$104))),0,(_xlfn.XLOOKUP(D$5,'QB_Funds Analysis raw'!$B$5:$AC$5, _xlfn.XLOOKUP($A45,'QB_Funds Analysis raw'!$A$6:$A$104,'QB_Funds Analysis raw'!$B$6:$AC$104))))</f>
        <v>0</v>
      </c>
      <c r="E45" s="142" cm="1">
        <f t="array" ref="E45">IF(ISERROR(_xlfn.XLOOKUP(E$5,'QB_Funds Analysis raw'!$B$5:$AC$5, _xlfn.XLOOKUP($A45,'QB_Funds Analysis raw'!$A$6:$A$104,'QB_Funds Analysis raw'!$B$6:$AC$104))),0,(_xlfn.XLOOKUP(E$5,'QB_Funds Analysis raw'!$B$5:$AC$5, _xlfn.XLOOKUP($A45,'QB_Funds Analysis raw'!$A$6:$A$104,'QB_Funds Analysis raw'!$B$6:$AC$104))))</f>
        <v>0</v>
      </c>
      <c r="F45" s="142" cm="1">
        <f t="array" ref="F45">IF(ISERROR(_xlfn.XLOOKUP(F$5,'QB_Funds Analysis raw'!$B$5:$AC$5, _xlfn.XLOOKUP($A45,'QB_Funds Analysis raw'!$A$6:$A$104,'QB_Funds Analysis raw'!$B$6:$AC$104))),0,(_xlfn.XLOOKUP(F$5,'QB_Funds Analysis raw'!$B$5:$AC$5, _xlfn.XLOOKUP($A45,'QB_Funds Analysis raw'!$A$6:$A$104,'QB_Funds Analysis raw'!$B$6:$AC$104))))</f>
        <v>0</v>
      </c>
      <c r="G45" s="142" cm="1">
        <f t="array" ref="G45">IF(ISERROR(_xlfn.XLOOKUP(G$5,'QB_Funds Analysis raw'!$B$5:$AC$5, _xlfn.XLOOKUP($A45,'QB_Funds Analysis raw'!$A$6:$A$104,'QB_Funds Analysis raw'!$B$6:$AC$104))),0,(_xlfn.XLOOKUP(G$5,'QB_Funds Analysis raw'!$B$5:$AC$5, _xlfn.XLOOKUP($A45,'QB_Funds Analysis raw'!$A$6:$A$104,'QB_Funds Analysis raw'!$B$6:$AC$104))))</f>
        <v>0</v>
      </c>
      <c r="H45" s="142" cm="1">
        <f t="array" ref="H45">IF(ISERROR(_xlfn.XLOOKUP(H$5,'QB_Funds Analysis raw'!$B$5:$AC$5, _xlfn.XLOOKUP($A45,'QB_Funds Analysis raw'!$A$6:$A$104,'QB_Funds Analysis raw'!$B$6:$AC$104))),0,(_xlfn.XLOOKUP(H$5,'QB_Funds Analysis raw'!$B$5:$AC$5, _xlfn.XLOOKUP($A45,'QB_Funds Analysis raw'!$A$6:$A$104,'QB_Funds Analysis raw'!$B$6:$AC$104))))</f>
        <v>0</v>
      </c>
      <c r="I45" s="142" cm="1">
        <f t="array" ref="I45">IF(ISERROR(_xlfn.XLOOKUP(I$5,'QB_Funds Analysis raw'!$B$5:$AC$5, _xlfn.XLOOKUP($A45,'QB_Funds Analysis raw'!$A$6:$A$104,'QB_Funds Analysis raw'!$B$6:$AC$104))),0,(_xlfn.XLOOKUP(I$5,'QB_Funds Analysis raw'!$B$5:$AC$5, _xlfn.XLOOKUP($A45,'QB_Funds Analysis raw'!$A$6:$A$104,'QB_Funds Analysis raw'!$B$6:$AC$104))))</f>
        <v>0</v>
      </c>
      <c r="J45" s="142" cm="1">
        <f t="array" ref="J45">IF(ISERROR(_xlfn.XLOOKUP(J$5,'QB_Funds Analysis raw'!$B$5:$AC$5, _xlfn.XLOOKUP($A45,'QB_Funds Analysis raw'!$A$6:$A$104,'QB_Funds Analysis raw'!$B$6:$AC$104))),0,(_xlfn.XLOOKUP(J$5,'QB_Funds Analysis raw'!$B$5:$AC$5, _xlfn.XLOOKUP($A45,'QB_Funds Analysis raw'!$A$6:$A$104,'QB_Funds Analysis raw'!$B$6:$AC$104))))</f>
        <v>0</v>
      </c>
      <c r="K45" s="252" cm="1">
        <f t="array" ref="K45">IF(ISERROR(_xlfn.XLOOKUP(K$5,'QB_Funds Analysis raw'!$B$5:$AC$5, _xlfn.XLOOKUP($A45,'QB_Funds Analysis raw'!$A$6:$A$104,'QB_Funds Analysis raw'!$B$6:$AC$104))),0,(_xlfn.XLOOKUP(K$5,'QB_Funds Analysis raw'!$B$5:$AC$5, _xlfn.XLOOKUP($A45,'QB_Funds Analysis raw'!$A$6:$A$104,'QB_Funds Analysis raw'!$B$6:$AC$104))))</f>
        <v>0</v>
      </c>
      <c r="L45" s="142" cm="1">
        <f t="array" ref="L45">IF(ISERROR(_xlfn.XLOOKUP(L$5,'QB_Funds Analysis raw'!$B$5:$AC$5, _xlfn.XLOOKUP($A45,'QB_Funds Analysis raw'!$A$6:$A$104,'QB_Funds Analysis raw'!$B$6:$AC$104))),0,(_xlfn.XLOOKUP(L$5,'QB_Funds Analysis raw'!$B$5:$AC$5, _xlfn.XLOOKUP($A45,'QB_Funds Analysis raw'!$A$6:$A$104,'QB_Funds Analysis raw'!$B$6:$AC$104))))</f>
        <v>0</v>
      </c>
      <c r="M45" s="142" cm="1">
        <f t="array" ref="M45">IF(ISERROR(_xlfn.XLOOKUP(M$5,'QB_Funds Analysis raw'!$B$5:$AC$5, _xlfn.XLOOKUP($A45,'QB_Funds Analysis raw'!$A$6:$A$104,'QB_Funds Analysis raw'!$B$6:$AC$104))),0,(_xlfn.XLOOKUP(M$5,'QB_Funds Analysis raw'!$B$5:$AC$5, _xlfn.XLOOKUP($A45,'QB_Funds Analysis raw'!$A$6:$A$104,'QB_Funds Analysis raw'!$B$6:$AC$104))))</f>
        <v>0</v>
      </c>
      <c r="N45" s="252" cm="1">
        <f t="array" ref="N45">IF(ISERROR(_xlfn.XLOOKUP(N$5,'QB_Funds Analysis raw'!$B$5:$AC$5, _xlfn.XLOOKUP($A45,'QB_Funds Analysis raw'!$A$6:$A$104,'QB_Funds Analysis raw'!$B$6:$AC$104))),0,(_xlfn.XLOOKUP(N$5,'QB_Funds Analysis raw'!$B$5:$AC$5, _xlfn.XLOOKUP($A45,'QB_Funds Analysis raw'!$A$6:$A$104,'QB_Funds Analysis raw'!$B$6:$AC$104))))</f>
        <v>0</v>
      </c>
      <c r="O45" s="252" cm="1">
        <f t="array" ref="O45">IF(ISERROR(_xlfn.XLOOKUP(O$5,'QB_Funds Analysis raw'!$B$5:$AC$5, _xlfn.XLOOKUP($A45,'QB_Funds Analysis raw'!$A$6:$A$104,'QB_Funds Analysis raw'!$B$6:$AC$104))),0,(_xlfn.XLOOKUP(O$5,'QB_Funds Analysis raw'!$B$5:$AC$5, _xlfn.XLOOKUP($A45,'QB_Funds Analysis raw'!$A$6:$A$104,'QB_Funds Analysis raw'!$B$6:$AC$104))))</f>
        <v>0</v>
      </c>
      <c r="P45" s="142" cm="1">
        <f t="array" ref="P45">IF(ISERROR(_xlfn.XLOOKUP(P$5,'QB_Funds Analysis raw'!$B$5:$AC$5, _xlfn.XLOOKUP($A45,'QB_Funds Analysis raw'!$A$6:$A$104,'QB_Funds Analysis raw'!$B$6:$AC$104))),0,(_xlfn.XLOOKUP(P$5,'QB_Funds Analysis raw'!$B$5:$AC$5, _xlfn.XLOOKUP($A45,'QB_Funds Analysis raw'!$A$6:$A$104,'QB_Funds Analysis raw'!$B$6:$AC$104))))</f>
        <v>0</v>
      </c>
      <c r="Q45" s="247" cm="1">
        <f t="array" ref="Q45">IF(ISERROR(_xlfn.XLOOKUP(Q$5,'QB_Funds Analysis raw'!$B$5:$AC$5, _xlfn.XLOOKUP($A45,'QB_Funds Analysis raw'!$A$6:$A$104,'QB_Funds Analysis raw'!$B$6:$AC$104))),0,(_xlfn.XLOOKUP(Q$5,'QB_Funds Analysis raw'!$B$5:$AC$5, _xlfn.XLOOKUP($A45,'QB_Funds Analysis raw'!$A$6:$A$104,'QB_Funds Analysis raw'!$B$6:$AC$104))))</f>
        <v>0</v>
      </c>
      <c r="R45" s="142" cm="1">
        <f t="array" ref="R45">IF(ISERROR(_xlfn.XLOOKUP(R$5,'QB_Funds Analysis raw'!$B$5:$AC$5, _xlfn.XLOOKUP($A45,'QB_Funds Analysis raw'!$A$6:$A$104,'QB_Funds Analysis raw'!$B$6:$AC$104))),0,(_xlfn.XLOOKUP(R$5,'QB_Funds Analysis raw'!$B$5:$AC$5, _xlfn.XLOOKUP($A45,'QB_Funds Analysis raw'!$A$6:$A$104,'QB_Funds Analysis raw'!$B$6:$AC$104))))</f>
        <v>0</v>
      </c>
      <c r="S45" s="142" cm="1">
        <f t="array" ref="S45">IF(ISERROR(_xlfn.XLOOKUP(S$5,'QB_Funds Analysis raw'!$B$5:$AC$5, _xlfn.XLOOKUP($A45,'QB_Funds Analysis raw'!$A$6:$A$104,'QB_Funds Analysis raw'!$B$6:$AC$104))),0,(_xlfn.XLOOKUP(S$5,'QB_Funds Analysis raw'!$B$5:$AC$5, _xlfn.XLOOKUP($A45,'QB_Funds Analysis raw'!$A$6:$A$104,'QB_Funds Analysis raw'!$B$6:$AC$104))))</f>
        <v>0</v>
      </c>
      <c r="T45" s="142" cm="1">
        <f t="array" ref="T45">IF(ISERROR(_xlfn.XLOOKUP(T$5,'QB_Funds Analysis raw'!$B$5:$AC$5, _xlfn.XLOOKUP($A45,'QB_Funds Analysis raw'!$A$6:$A$104,'QB_Funds Analysis raw'!$B$6:$AC$104))),0,(_xlfn.XLOOKUP(T$5,'QB_Funds Analysis raw'!$B$5:$AC$5, _xlfn.XLOOKUP($A45,'QB_Funds Analysis raw'!$A$6:$A$104,'QB_Funds Analysis raw'!$B$6:$AC$104))))</f>
        <v>0</v>
      </c>
      <c r="U45" s="142" cm="1">
        <f t="array" ref="U45">IF(ISERROR(_xlfn.XLOOKUP(U$5,'QB_Funds Analysis raw'!$B$5:$AC$5, _xlfn.XLOOKUP($A45,'QB_Funds Analysis raw'!$A$6:$A$104,'QB_Funds Analysis raw'!$B$6:$AC$104))),0,(_xlfn.XLOOKUP(U$5,'QB_Funds Analysis raw'!$B$5:$AC$5, _xlfn.XLOOKUP($A45,'QB_Funds Analysis raw'!$A$6:$A$104,'QB_Funds Analysis raw'!$B$6:$AC$104))))</f>
        <v>0</v>
      </c>
      <c r="V45" s="142" cm="1">
        <f t="array" ref="V45">IF(ISERROR(_xlfn.XLOOKUP(V$5,'QB_Funds Analysis raw'!$B$5:$AC$5, _xlfn.XLOOKUP($A45,'QB_Funds Analysis raw'!$A$6:$A$104,'QB_Funds Analysis raw'!$B$6:$AC$104))),0,(_xlfn.XLOOKUP(V$5,'QB_Funds Analysis raw'!$B$5:$AC$5, _xlfn.XLOOKUP($A45,'QB_Funds Analysis raw'!$A$6:$A$104,'QB_Funds Analysis raw'!$B$6:$AC$104))))</f>
        <v>0</v>
      </c>
      <c r="W45" s="142" cm="1">
        <f t="array" ref="W45">IF(ISERROR(_xlfn.XLOOKUP(W$5,'QB_Funds Analysis raw'!$B$5:$AC$5, _xlfn.XLOOKUP($A45,'QB_Funds Analysis raw'!$A$6:$A$104,'QB_Funds Analysis raw'!$B$6:$AC$104))),0,(_xlfn.XLOOKUP(W$5,'QB_Funds Analysis raw'!$B$5:$AC$5, _xlfn.XLOOKUP($A45,'QB_Funds Analysis raw'!$A$6:$A$104,'QB_Funds Analysis raw'!$B$6:$AC$104))))</f>
        <v>0</v>
      </c>
      <c r="X45" s="142" cm="1">
        <f t="array" ref="X45">IF(ISERROR(_xlfn.XLOOKUP(X$5,'QB_Funds Analysis raw'!$B$5:$AC$5, _xlfn.XLOOKUP($A45,'QB_Funds Analysis raw'!$A$6:$A$104,'QB_Funds Analysis raw'!$B$6:$AC$104))),0,(_xlfn.XLOOKUP(X$5,'QB_Funds Analysis raw'!$B$5:$AC$5, _xlfn.XLOOKUP($A45,'QB_Funds Analysis raw'!$A$6:$A$104,'QB_Funds Analysis raw'!$B$6:$AC$104))))</f>
        <v>0</v>
      </c>
      <c r="Y45" s="142" cm="1">
        <f t="array" ref="Y45">IF(ISERROR(_xlfn.XLOOKUP(Y$5,'QB_Funds Analysis raw'!$B$5:$AC$5, _xlfn.XLOOKUP($A45,'QB_Funds Analysis raw'!$A$6:$A$104,'QB_Funds Analysis raw'!$B$6:$AC$104))),0,(_xlfn.XLOOKUP(Y$5,'QB_Funds Analysis raw'!$B$5:$AC$5, _xlfn.XLOOKUP($A45,'QB_Funds Analysis raw'!$A$6:$A$104,'QB_Funds Analysis raw'!$B$6:$AC$104))))</f>
        <v>0</v>
      </c>
      <c r="Z45" s="142" cm="1">
        <f t="array" ref="Z45">IF(ISERROR(_xlfn.XLOOKUP(Z$5,'QB_Funds Analysis raw'!$B$5:$AC$5, _xlfn.XLOOKUP($A45,'QB_Funds Analysis raw'!$A$6:$A$104,'QB_Funds Analysis raw'!$B$6:$AC$104))),0,(_xlfn.XLOOKUP(Z$5,'QB_Funds Analysis raw'!$B$5:$AC$5, _xlfn.XLOOKUP($A45,'QB_Funds Analysis raw'!$A$6:$A$104,'QB_Funds Analysis raw'!$B$6:$AC$104))))</f>
        <v>0</v>
      </c>
      <c r="AA45" s="142" cm="1">
        <f t="array" ref="AA45">IF(ISERROR(_xlfn.XLOOKUP(AA$5,'QB_Funds Analysis raw'!$B$5:$AC$5, _xlfn.XLOOKUP($A45,'QB_Funds Analysis raw'!$A$6:$A$104,'QB_Funds Analysis raw'!$B$6:$AC$104))),0,(_xlfn.XLOOKUP(AA$5,'QB_Funds Analysis raw'!$B$5:$AC$5, _xlfn.XLOOKUP($A45,'QB_Funds Analysis raw'!$A$6:$A$104,'QB_Funds Analysis raw'!$B$6:$AC$104))))</f>
        <v>0</v>
      </c>
      <c r="AB45" s="142" cm="1">
        <f t="array" ref="AB45">IF(ISERROR(_xlfn.XLOOKUP(AB$5,'QB_Funds Analysis raw'!$B$5:$AC$5, _xlfn.XLOOKUP($A45,'QB_Funds Analysis raw'!$A$6:$A$104,'QB_Funds Analysis raw'!$B$6:$AC$104))),0,(_xlfn.XLOOKUP(AB$5,'QB_Funds Analysis raw'!$B$5:$AC$5, _xlfn.XLOOKUP($A45,'QB_Funds Analysis raw'!$A$6:$A$104,'QB_Funds Analysis raw'!$B$6:$AC$104))))</f>
        <v>0</v>
      </c>
      <c r="AC45" s="142" cm="1">
        <f t="array" ref="AC45">IF(ISERROR(_xlfn.XLOOKUP(AC$5,'QB_Funds Analysis raw'!$B$5:$AC$5, _xlfn.XLOOKUP($A45,'QB_Funds Analysis raw'!$A$6:$A$104,'QB_Funds Analysis raw'!$B$6:$AC$104))),0,(_xlfn.XLOOKUP(AC$5,'QB_Funds Analysis raw'!$B$5:$AC$5, _xlfn.XLOOKUP($A45,'QB_Funds Analysis raw'!$A$6:$A$104,'QB_Funds Analysis raw'!$B$6:$AC$104))))</f>
        <v>0</v>
      </c>
      <c r="AD45" s="167">
        <f t="shared" si="13"/>
        <v>0</v>
      </c>
      <c r="AE45" s="167">
        <f t="shared" si="4"/>
        <v>0</v>
      </c>
    </row>
    <row r="46" spans="1:31" ht="20.25" customHeight="1" x14ac:dyDescent="0.25">
      <c r="A46" s="2" t="s">
        <v>49</v>
      </c>
      <c r="B46" s="142" cm="1">
        <f t="array" ref="B46">IF(ISERROR(_xlfn.XLOOKUP(B$5,'QB_Funds Analysis raw'!$B$5:$AC$5, _xlfn.XLOOKUP($A46,'QB_Funds Analysis raw'!$A$6:$A$104,'QB_Funds Analysis raw'!$B$6:$AC$104))),0,(_xlfn.XLOOKUP(B$5,'QB_Funds Analysis raw'!$B$5:$AC$5, _xlfn.XLOOKUP($A46,'QB_Funds Analysis raw'!$A$6:$A$104,'QB_Funds Analysis raw'!$B$6:$AC$104))))</f>
        <v>0</v>
      </c>
      <c r="C46" s="142" cm="1">
        <f t="array" ref="C46">IF(ISERROR(_xlfn.XLOOKUP(C$5,'QB_Funds Analysis raw'!$B$5:$AC$5, _xlfn.XLOOKUP($A46,'QB_Funds Analysis raw'!$A$6:$A$104,'QB_Funds Analysis raw'!$B$6:$AC$104))),0,(_xlfn.XLOOKUP(C$5,'QB_Funds Analysis raw'!$B$5:$AC$5, _xlfn.XLOOKUP($A46,'QB_Funds Analysis raw'!$A$6:$A$104,'QB_Funds Analysis raw'!$B$6:$AC$104))))</f>
        <v>0</v>
      </c>
      <c r="D46" s="252" cm="1">
        <f t="array" ref="D46">IF(ISERROR(_xlfn.XLOOKUP(D$5,'QB_Funds Analysis raw'!$B$5:$AC$5, _xlfn.XLOOKUP($A46,'QB_Funds Analysis raw'!$A$6:$A$104,'QB_Funds Analysis raw'!$B$6:$AC$104))),0,(_xlfn.XLOOKUP(D$5,'QB_Funds Analysis raw'!$B$5:$AC$5, _xlfn.XLOOKUP($A46,'QB_Funds Analysis raw'!$A$6:$A$104,'QB_Funds Analysis raw'!$B$6:$AC$104))))</f>
        <v>0</v>
      </c>
      <c r="E46" s="142" cm="1">
        <f t="array" ref="E46">IF(ISERROR(_xlfn.XLOOKUP(E$5,'QB_Funds Analysis raw'!$B$5:$AC$5, _xlfn.XLOOKUP($A46,'QB_Funds Analysis raw'!$A$6:$A$104,'QB_Funds Analysis raw'!$B$6:$AC$104))),0,(_xlfn.XLOOKUP(E$5,'QB_Funds Analysis raw'!$B$5:$AC$5, _xlfn.XLOOKUP($A46,'QB_Funds Analysis raw'!$A$6:$A$104,'QB_Funds Analysis raw'!$B$6:$AC$104))))</f>
        <v>0</v>
      </c>
      <c r="F46" s="142" cm="1">
        <f t="array" ref="F46">IF(ISERROR(_xlfn.XLOOKUP(F$5,'QB_Funds Analysis raw'!$B$5:$AC$5, _xlfn.XLOOKUP($A46,'QB_Funds Analysis raw'!$A$6:$A$104,'QB_Funds Analysis raw'!$B$6:$AC$104))),0,(_xlfn.XLOOKUP(F$5,'QB_Funds Analysis raw'!$B$5:$AC$5, _xlfn.XLOOKUP($A46,'QB_Funds Analysis raw'!$A$6:$A$104,'QB_Funds Analysis raw'!$B$6:$AC$104))))</f>
        <v>0</v>
      </c>
      <c r="G46" s="142" cm="1">
        <f t="array" ref="G46">IF(ISERROR(_xlfn.XLOOKUP(G$5,'QB_Funds Analysis raw'!$B$5:$AC$5, _xlfn.XLOOKUP($A46,'QB_Funds Analysis raw'!$A$6:$A$104,'QB_Funds Analysis raw'!$B$6:$AC$104))),0,(_xlfn.XLOOKUP(G$5,'QB_Funds Analysis raw'!$B$5:$AC$5, _xlfn.XLOOKUP($A46,'QB_Funds Analysis raw'!$A$6:$A$104,'QB_Funds Analysis raw'!$B$6:$AC$104))))</f>
        <v>0</v>
      </c>
      <c r="H46" s="142" cm="1">
        <f t="array" ref="H46">IF(ISERROR(_xlfn.XLOOKUP(H$5,'QB_Funds Analysis raw'!$B$5:$AC$5, _xlfn.XLOOKUP($A46,'QB_Funds Analysis raw'!$A$6:$A$104,'QB_Funds Analysis raw'!$B$6:$AC$104))),0,(_xlfn.XLOOKUP(H$5,'QB_Funds Analysis raw'!$B$5:$AC$5, _xlfn.XLOOKUP($A46,'QB_Funds Analysis raw'!$A$6:$A$104,'QB_Funds Analysis raw'!$B$6:$AC$104))))</f>
        <v>0</v>
      </c>
      <c r="I46" s="142" cm="1">
        <f t="array" ref="I46">IF(ISERROR(_xlfn.XLOOKUP(I$5,'QB_Funds Analysis raw'!$B$5:$AC$5, _xlfn.XLOOKUP($A46,'QB_Funds Analysis raw'!$A$6:$A$104,'QB_Funds Analysis raw'!$B$6:$AC$104))),0,(_xlfn.XLOOKUP(I$5,'QB_Funds Analysis raw'!$B$5:$AC$5, _xlfn.XLOOKUP($A46,'QB_Funds Analysis raw'!$A$6:$A$104,'QB_Funds Analysis raw'!$B$6:$AC$104))))</f>
        <v>0</v>
      </c>
      <c r="J46" s="142" cm="1">
        <f t="array" ref="J46">IF(ISERROR(_xlfn.XLOOKUP(J$5,'QB_Funds Analysis raw'!$B$5:$AC$5, _xlfn.XLOOKUP($A46,'QB_Funds Analysis raw'!$A$6:$A$104,'QB_Funds Analysis raw'!$B$6:$AC$104))),0,(_xlfn.XLOOKUP(J$5,'QB_Funds Analysis raw'!$B$5:$AC$5, _xlfn.XLOOKUP($A46,'QB_Funds Analysis raw'!$A$6:$A$104,'QB_Funds Analysis raw'!$B$6:$AC$104))))</f>
        <v>0</v>
      </c>
      <c r="K46" s="252" cm="1">
        <f t="array" ref="K46">IF(ISERROR(_xlfn.XLOOKUP(K$5,'QB_Funds Analysis raw'!$B$5:$AC$5, _xlfn.XLOOKUP($A46,'QB_Funds Analysis raw'!$A$6:$A$104,'QB_Funds Analysis raw'!$B$6:$AC$104))),0,(_xlfn.XLOOKUP(K$5,'QB_Funds Analysis raw'!$B$5:$AC$5, _xlfn.XLOOKUP($A46,'QB_Funds Analysis raw'!$A$6:$A$104,'QB_Funds Analysis raw'!$B$6:$AC$104))))</f>
        <v>0</v>
      </c>
      <c r="L46" s="142" cm="1">
        <f t="array" ref="L46">IF(ISERROR(_xlfn.XLOOKUP(L$5,'QB_Funds Analysis raw'!$B$5:$AC$5, _xlfn.XLOOKUP($A46,'QB_Funds Analysis raw'!$A$6:$A$104,'QB_Funds Analysis raw'!$B$6:$AC$104))),0,(_xlfn.XLOOKUP(L$5,'QB_Funds Analysis raw'!$B$5:$AC$5, _xlfn.XLOOKUP($A46,'QB_Funds Analysis raw'!$A$6:$A$104,'QB_Funds Analysis raw'!$B$6:$AC$104))))</f>
        <v>0</v>
      </c>
      <c r="M46" s="142" cm="1">
        <f t="array" ref="M46">IF(ISERROR(_xlfn.XLOOKUP(M$5,'QB_Funds Analysis raw'!$B$5:$AC$5, _xlfn.XLOOKUP($A46,'QB_Funds Analysis raw'!$A$6:$A$104,'QB_Funds Analysis raw'!$B$6:$AC$104))),0,(_xlfn.XLOOKUP(M$5,'QB_Funds Analysis raw'!$B$5:$AC$5, _xlfn.XLOOKUP($A46,'QB_Funds Analysis raw'!$A$6:$A$104,'QB_Funds Analysis raw'!$B$6:$AC$104))))</f>
        <v>0</v>
      </c>
      <c r="N46" s="252" cm="1">
        <f t="array" ref="N46">IF(ISERROR(_xlfn.XLOOKUP(N$5,'QB_Funds Analysis raw'!$B$5:$AC$5, _xlfn.XLOOKUP($A46,'QB_Funds Analysis raw'!$A$6:$A$104,'QB_Funds Analysis raw'!$B$6:$AC$104))),0,(_xlfn.XLOOKUP(N$5,'QB_Funds Analysis raw'!$B$5:$AC$5, _xlfn.XLOOKUP($A46,'QB_Funds Analysis raw'!$A$6:$A$104,'QB_Funds Analysis raw'!$B$6:$AC$104))))</f>
        <v>0</v>
      </c>
      <c r="O46" s="252" cm="1">
        <f t="array" ref="O46">IF(ISERROR(_xlfn.XLOOKUP(O$5,'QB_Funds Analysis raw'!$B$5:$AC$5, _xlfn.XLOOKUP($A46,'QB_Funds Analysis raw'!$A$6:$A$104,'QB_Funds Analysis raw'!$B$6:$AC$104))),0,(_xlfn.XLOOKUP(O$5,'QB_Funds Analysis raw'!$B$5:$AC$5, _xlfn.XLOOKUP($A46,'QB_Funds Analysis raw'!$A$6:$A$104,'QB_Funds Analysis raw'!$B$6:$AC$104))))</f>
        <v>0</v>
      </c>
      <c r="P46" s="142" cm="1">
        <f t="array" ref="P46">IF(ISERROR(_xlfn.XLOOKUP(P$5,'QB_Funds Analysis raw'!$B$5:$AC$5, _xlfn.XLOOKUP($A46,'QB_Funds Analysis raw'!$A$6:$A$104,'QB_Funds Analysis raw'!$B$6:$AC$104))),0,(_xlfn.XLOOKUP(P$5,'QB_Funds Analysis raw'!$B$5:$AC$5, _xlfn.XLOOKUP($A46,'QB_Funds Analysis raw'!$A$6:$A$104,'QB_Funds Analysis raw'!$B$6:$AC$104))))</f>
        <v>0</v>
      </c>
      <c r="Q46" s="247" cm="1">
        <f t="array" ref="Q46">IF(ISERROR(_xlfn.XLOOKUP(Q$5,'QB_Funds Analysis raw'!$B$5:$AC$5, _xlfn.XLOOKUP($A46,'QB_Funds Analysis raw'!$A$6:$A$104,'QB_Funds Analysis raw'!$B$6:$AC$104))),0,(_xlfn.XLOOKUP(Q$5,'QB_Funds Analysis raw'!$B$5:$AC$5, _xlfn.XLOOKUP($A46,'QB_Funds Analysis raw'!$A$6:$A$104,'QB_Funds Analysis raw'!$B$6:$AC$104))))</f>
        <v>0</v>
      </c>
      <c r="R46" s="142" cm="1">
        <f t="array" ref="R46">IF(ISERROR(_xlfn.XLOOKUP(R$5,'QB_Funds Analysis raw'!$B$5:$AC$5, _xlfn.XLOOKUP($A46,'QB_Funds Analysis raw'!$A$6:$A$104,'QB_Funds Analysis raw'!$B$6:$AC$104))),0,(_xlfn.XLOOKUP(R$5,'QB_Funds Analysis raw'!$B$5:$AC$5, _xlfn.XLOOKUP($A46,'QB_Funds Analysis raw'!$A$6:$A$104,'QB_Funds Analysis raw'!$B$6:$AC$104))))</f>
        <v>0</v>
      </c>
      <c r="S46" s="142" cm="1">
        <f t="array" ref="S46">IF(ISERROR(_xlfn.XLOOKUP(S$5,'QB_Funds Analysis raw'!$B$5:$AC$5, _xlfn.XLOOKUP($A46,'QB_Funds Analysis raw'!$A$6:$A$104,'QB_Funds Analysis raw'!$B$6:$AC$104))),0,(_xlfn.XLOOKUP(S$5,'QB_Funds Analysis raw'!$B$5:$AC$5, _xlfn.XLOOKUP($A46,'QB_Funds Analysis raw'!$A$6:$A$104,'QB_Funds Analysis raw'!$B$6:$AC$104))))</f>
        <v>0</v>
      </c>
      <c r="T46" s="142" cm="1">
        <f t="array" ref="T46">IF(ISERROR(_xlfn.XLOOKUP(T$5,'QB_Funds Analysis raw'!$B$5:$AC$5, _xlfn.XLOOKUP($A46,'QB_Funds Analysis raw'!$A$6:$A$104,'QB_Funds Analysis raw'!$B$6:$AC$104))),0,(_xlfn.XLOOKUP(T$5,'QB_Funds Analysis raw'!$B$5:$AC$5, _xlfn.XLOOKUP($A46,'QB_Funds Analysis raw'!$A$6:$A$104,'QB_Funds Analysis raw'!$B$6:$AC$104))))</f>
        <v>0</v>
      </c>
      <c r="U46" s="142" cm="1">
        <f t="array" ref="U46">IF(ISERROR(_xlfn.XLOOKUP(U$5,'QB_Funds Analysis raw'!$B$5:$AC$5, _xlfn.XLOOKUP($A46,'QB_Funds Analysis raw'!$A$6:$A$104,'QB_Funds Analysis raw'!$B$6:$AC$104))),0,(_xlfn.XLOOKUP(U$5,'QB_Funds Analysis raw'!$B$5:$AC$5, _xlfn.XLOOKUP($A46,'QB_Funds Analysis raw'!$A$6:$A$104,'QB_Funds Analysis raw'!$B$6:$AC$104))))</f>
        <v>0</v>
      </c>
      <c r="V46" s="142" cm="1">
        <f t="array" ref="V46">IF(ISERROR(_xlfn.XLOOKUP(V$5,'QB_Funds Analysis raw'!$B$5:$AC$5, _xlfn.XLOOKUP($A46,'QB_Funds Analysis raw'!$A$6:$A$104,'QB_Funds Analysis raw'!$B$6:$AC$104))),0,(_xlfn.XLOOKUP(V$5,'QB_Funds Analysis raw'!$B$5:$AC$5, _xlfn.XLOOKUP($A46,'QB_Funds Analysis raw'!$A$6:$A$104,'QB_Funds Analysis raw'!$B$6:$AC$104))))</f>
        <v>0</v>
      </c>
      <c r="W46" s="142" cm="1">
        <f t="array" ref="W46">IF(ISERROR(_xlfn.XLOOKUP(W$5,'QB_Funds Analysis raw'!$B$5:$AC$5, _xlfn.XLOOKUP($A46,'QB_Funds Analysis raw'!$A$6:$A$104,'QB_Funds Analysis raw'!$B$6:$AC$104))),0,(_xlfn.XLOOKUP(W$5,'QB_Funds Analysis raw'!$B$5:$AC$5, _xlfn.XLOOKUP($A46,'QB_Funds Analysis raw'!$A$6:$A$104,'QB_Funds Analysis raw'!$B$6:$AC$104))))</f>
        <v>0</v>
      </c>
      <c r="X46" s="142" cm="1">
        <f t="array" ref="X46">IF(ISERROR(_xlfn.XLOOKUP(X$5,'QB_Funds Analysis raw'!$B$5:$AC$5, _xlfn.XLOOKUP($A46,'QB_Funds Analysis raw'!$A$6:$A$104,'QB_Funds Analysis raw'!$B$6:$AC$104))),0,(_xlfn.XLOOKUP(X$5,'QB_Funds Analysis raw'!$B$5:$AC$5, _xlfn.XLOOKUP($A46,'QB_Funds Analysis raw'!$A$6:$A$104,'QB_Funds Analysis raw'!$B$6:$AC$104))))</f>
        <v>0</v>
      </c>
      <c r="Y46" s="142" cm="1">
        <f t="array" ref="Y46">IF(ISERROR(_xlfn.XLOOKUP(Y$5,'QB_Funds Analysis raw'!$B$5:$AC$5, _xlfn.XLOOKUP($A46,'QB_Funds Analysis raw'!$A$6:$A$104,'QB_Funds Analysis raw'!$B$6:$AC$104))),0,(_xlfn.XLOOKUP(Y$5,'QB_Funds Analysis raw'!$B$5:$AC$5, _xlfn.XLOOKUP($A46,'QB_Funds Analysis raw'!$A$6:$A$104,'QB_Funds Analysis raw'!$B$6:$AC$104))))</f>
        <v>0</v>
      </c>
      <c r="Z46" s="142" cm="1">
        <f t="array" ref="Z46">IF(ISERROR(_xlfn.XLOOKUP(Z$5,'QB_Funds Analysis raw'!$B$5:$AC$5, _xlfn.XLOOKUP($A46,'QB_Funds Analysis raw'!$A$6:$A$104,'QB_Funds Analysis raw'!$B$6:$AC$104))),0,(_xlfn.XLOOKUP(Z$5,'QB_Funds Analysis raw'!$B$5:$AC$5, _xlfn.XLOOKUP($A46,'QB_Funds Analysis raw'!$A$6:$A$104,'QB_Funds Analysis raw'!$B$6:$AC$104))))</f>
        <v>0</v>
      </c>
      <c r="AA46" s="142" cm="1">
        <f t="array" ref="AA46">IF(ISERROR(_xlfn.XLOOKUP(AA$5,'QB_Funds Analysis raw'!$B$5:$AC$5, _xlfn.XLOOKUP($A46,'QB_Funds Analysis raw'!$A$6:$A$104,'QB_Funds Analysis raw'!$B$6:$AC$104))),0,(_xlfn.XLOOKUP(AA$5,'QB_Funds Analysis raw'!$B$5:$AC$5, _xlfn.XLOOKUP($A46,'QB_Funds Analysis raw'!$A$6:$A$104,'QB_Funds Analysis raw'!$B$6:$AC$104))))</f>
        <v>0</v>
      </c>
      <c r="AB46" s="142" cm="1">
        <f t="array" ref="AB46">IF(ISERROR(_xlfn.XLOOKUP(AB$5,'QB_Funds Analysis raw'!$B$5:$AC$5, _xlfn.XLOOKUP($A46,'QB_Funds Analysis raw'!$A$6:$A$104,'QB_Funds Analysis raw'!$B$6:$AC$104))),0,(_xlfn.XLOOKUP(AB$5,'QB_Funds Analysis raw'!$B$5:$AC$5, _xlfn.XLOOKUP($A46,'QB_Funds Analysis raw'!$A$6:$A$104,'QB_Funds Analysis raw'!$B$6:$AC$104))))</f>
        <v>0</v>
      </c>
      <c r="AC46" s="142" cm="1">
        <f t="array" ref="AC46">IF(ISERROR(_xlfn.XLOOKUP(AC$5,'QB_Funds Analysis raw'!$B$5:$AC$5, _xlfn.XLOOKUP($A46,'QB_Funds Analysis raw'!$A$6:$A$104,'QB_Funds Analysis raw'!$B$6:$AC$104))),0,(_xlfn.XLOOKUP(AC$5,'QB_Funds Analysis raw'!$B$5:$AC$5, _xlfn.XLOOKUP($A46,'QB_Funds Analysis raw'!$A$6:$A$104,'QB_Funds Analysis raw'!$B$6:$AC$104))))</f>
        <v>0</v>
      </c>
      <c r="AD46" s="167">
        <f t="shared" si="13"/>
        <v>0</v>
      </c>
      <c r="AE46" s="167">
        <f t="shared" si="4"/>
        <v>0</v>
      </c>
    </row>
    <row r="47" spans="1:31" ht="20.25" customHeight="1" x14ac:dyDescent="0.25">
      <c r="A47" s="2" t="s">
        <v>50</v>
      </c>
      <c r="B47" s="142" cm="1">
        <f t="array" ref="B47">IF(ISERROR(_xlfn.XLOOKUP(B$5,'QB_Funds Analysis raw'!$B$5:$AC$5, _xlfn.XLOOKUP($A47,'QB_Funds Analysis raw'!$A$6:$A$104,'QB_Funds Analysis raw'!$B$6:$AC$104))),0,(_xlfn.XLOOKUP(B$5,'QB_Funds Analysis raw'!$B$5:$AC$5, _xlfn.XLOOKUP($A47,'QB_Funds Analysis raw'!$A$6:$A$104,'QB_Funds Analysis raw'!$B$6:$AC$104))))</f>
        <v>0</v>
      </c>
      <c r="C47" s="142" cm="1">
        <f t="array" ref="C47">IF(ISERROR(_xlfn.XLOOKUP(C$5,'QB_Funds Analysis raw'!$B$5:$AC$5, _xlfn.XLOOKUP($A47,'QB_Funds Analysis raw'!$A$6:$A$104,'QB_Funds Analysis raw'!$B$6:$AC$104))),0,(_xlfn.XLOOKUP(C$5,'QB_Funds Analysis raw'!$B$5:$AC$5, _xlfn.XLOOKUP($A47,'QB_Funds Analysis raw'!$A$6:$A$104,'QB_Funds Analysis raw'!$B$6:$AC$104))))</f>
        <v>0</v>
      </c>
      <c r="D47" s="252" cm="1">
        <f t="array" ref="D47">IF(ISERROR(_xlfn.XLOOKUP(D$5,'QB_Funds Analysis raw'!$B$5:$AC$5, _xlfn.XLOOKUP($A47,'QB_Funds Analysis raw'!$A$6:$A$104,'QB_Funds Analysis raw'!$B$6:$AC$104))),0,(_xlfn.XLOOKUP(D$5,'QB_Funds Analysis raw'!$B$5:$AC$5, _xlfn.XLOOKUP($A47,'QB_Funds Analysis raw'!$A$6:$A$104,'QB_Funds Analysis raw'!$B$6:$AC$104))))</f>
        <v>0</v>
      </c>
      <c r="E47" s="142" cm="1">
        <f t="array" ref="E47">IF(ISERROR(_xlfn.XLOOKUP(E$5,'QB_Funds Analysis raw'!$B$5:$AC$5, _xlfn.XLOOKUP($A47,'QB_Funds Analysis raw'!$A$6:$A$104,'QB_Funds Analysis raw'!$B$6:$AC$104))),0,(_xlfn.XLOOKUP(E$5,'QB_Funds Analysis raw'!$B$5:$AC$5, _xlfn.XLOOKUP($A47,'QB_Funds Analysis raw'!$A$6:$A$104,'QB_Funds Analysis raw'!$B$6:$AC$104))))</f>
        <v>0</v>
      </c>
      <c r="F47" s="142" cm="1">
        <f t="array" ref="F47">IF(ISERROR(_xlfn.XLOOKUP(F$5,'QB_Funds Analysis raw'!$B$5:$AC$5, _xlfn.XLOOKUP($A47,'QB_Funds Analysis raw'!$A$6:$A$104,'QB_Funds Analysis raw'!$B$6:$AC$104))),0,(_xlfn.XLOOKUP(F$5,'QB_Funds Analysis raw'!$B$5:$AC$5, _xlfn.XLOOKUP($A47,'QB_Funds Analysis raw'!$A$6:$A$104,'QB_Funds Analysis raw'!$B$6:$AC$104))))</f>
        <v>0</v>
      </c>
      <c r="G47" s="142" cm="1">
        <f t="array" ref="G47">IF(ISERROR(_xlfn.XLOOKUP(G$5,'QB_Funds Analysis raw'!$B$5:$AC$5, _xlfn.XLOOKUP($A47,'QB_Funds Analysis raw'!$A$6:$A$104,'QB_Funds Analysis raw'!$B$6:$AC$104))),0,(_xlfn.XLOOKUP(G$5,'QB_Funds Analysis raw'!$B$5:$AC$5, _xlfn.XLOOKUP($A47,'QB_Funds Analysis raw'!$A$6:$A$104,'QB_Funds Analysis raw'!$B$6:$AC$104))))</f>
        <v>0</v>
      </c>
      <c r="H47" s="142" cm="1">
        <f t="array" ref="H47">IF(ISERROR(_xlfn.XLOOKUP(H$5,'QB_Funds Analysis raw'!$B$5:$AC$5, _xlfn.XLOOKUP($A47,'QB_Funds Analysis raw'!$A$6:$A$104,'QB_Funds Analysis raw'!$B$6:$AC$104))),0,(_xlfn.XLOOKUP(H$5,'QB_Funds Analysis raw'!$B$5:$AC$5, _xlfn.XLOOKUP($A47,'QB_Funds Analysis raw'!$A$6:$A$104,'QB_Funds Analysis raw'!$B$6:$AC$104))))</f>
        <v>16.899999999999999</v>
      </c>
      <c r="I47" s="142" cm="1">
        <f t="array" ref="I47">IF(ISERROR(_xlfn.XLOOKUP(I$5,'QB_Funds Analysis raw'!$B$5:$AC$5, _xlfn.XLOOKUP($A47,'QB_Funds Analysis raw'!$A$6:$A$104,'QB_Funds Analysis raw'!$B$6:$AC$104))),0,(_xlfn.XLOOKUP(I$5,'QB_Funds Analysis raw'!$B$5:$AC$5, _xlfn.XLOOKUP($A47,'QB_Funds Analysis raw'!$A$6:$A$104,'QB_Funds Analysis raw'!$B$6:$AC$104))))</f>
        <v>0</v>
      </c>
      <c r="J47" s="142" cm="1">
        <f t="array" ref="J47">IF(ISERROR(_xlfn.XLOOKUP(J$5,'QB_Funds Analysis raw'!$B$5:$AC$5, _xlfn.XLOOKUP($A47,'QB_Funds Analysis raw'!$A$6:$A$104,'QB_Funds Analysis raw'!$B$6:$AC$104))),0,(_xlfn.XLOOKUP(J$5,'QB_Funds Analysis raw'!$B$5:$AC$5, _xlfn.XLOOKUP($A47,'QB_Funds Analysis raw'!$A$6:$A$104,'QB_Funds Analysis raw'!$B$6:$AC$104))))</f>
        <v>332.22</v>
      </c>
      <c r="K47" s="252" cm="1">
        <f t="array" ref="K47">IF(ISERROR(_xlfn.XLOOKUP(K$5,'QB_Funds Analysis raw'!$B$5:$AC$5, _xlfn.XLOOKUP($A47,'QB_Funds Analysis raw'!$A$6:$A$104,'QB_Funds Analysis raw'!$B$6:$AC$104))),0,(_xlfn.XLOOKUP(K$5,'QB_Funds Analysis raw'!$B$5:$AC$5, _xlfn.XLOOKUP($A47,'QB_Funds Analysis raw'!$A$6:$A$104,'QB_Funds Analysis raw'!$B$6:$AC$104))))</f>
        <v>0</v>
      </c>
      <c r="L47" s="142" cm="1">
        <f t="array" ref="L47">IF(ISERROR(_xlfn.XLOOKUP(L$5,'QB_Funds Analysis raw'!$B$5:$AC$5, _xlfn.XLOOKUP($A47,'QB_Funds Analysis raw'!$A$6:$A$104,'QB_Funds Analysis raw'!$B$6:$AC$104))),0,(_xlfn.XLOOKUP(L$5,'QB_Funds Analysis raw'!$B$5:$AC$5, _xlfn.XLOOKUP($A47,'QB_Funds Analysis raw'!$A$6:$A$104,'QB_Funds Analysis raw'!$B$6:$AC$104))))</f>
        <v>0</v>
      </c>
      <c r="M47" s="142" cm="1">
        <f t="array" ref="M47">IF(ISERROR(_xlfn.XLOOKUP(M$5,'QB_Funds Analysis raw'!$B$5:$AC$5, _xlfn.XLOOKUP($A47,'QB_Funds Analysis raw'!$A$6:$A$104,'QB_Funds Analysis raw'!$B$6:$AC$104))),0,(_xlfn.XLOOKUP(M$5,'QB_Funds Analysis raw'!$B$5:$AC$5, _xlfn.XLOOKUP($A47,'QB_Funds Analysis raw'!$A$6:$A$104,'QB_Funds Analysis raw'!$B$6:$AC$104))))</f>
        <v>0</v>
      </c>
      <c r="N47" s="252" cm="1">
        <f t="array" ref="N47">IF(ISERROR(_xlfn.XLOOKUP(N$5,'QB_Funds Analysis raw'!$B$5:$AC$5, _xlfn.XLOOKUP($A47,'QB_Funds Analysis raw'!$A$6:$A$104,'QB_Funds Analysis raw'!$B$6:$AC$104))),0,(_xlfn.XLOOKUP(N$5,'QB_Funds Analysis raw'!$B$5:$AC$5, _xlfn.XLOOKUP($A47,'QB_Funds Analysis raw'!$A$6:$A$104,'QB_Funds Analysis raw'!$B$6:$AC$104))))</f>
        <v>0</v>
      </c>
      <c r="O47" s="252" cm="1">
        <f t="array" ref="O47">IF(ISERROR(_xlfn.XLOOKUP(O$5,'QB_Funds Analysis raw'!$B$5:$AC$5, _xlfn.XLOOKUP($A47,'QB_Funds Analysis raw'!$A$6:$A$104,'QB_Funds Analysis raw'!$B$6:$AC$104))),0,(_xlfn.XLOOKUP(O$5,'QB_Funds Analysis raw'!$B$5:$AC$5, _xlfn.XLOOKUP($A47,'QB_Funds Analysis raw'!$A$6:$A$104,'QB_Funds Analysis raw'!$B$6:$AC$104))))</f>
        <v>0</v>
      </c>
      <c r="P47" s="142" cm="1">
        <f t="array" ref="P47">IF(ISERROR(_xlfn.XLOOKUP(P$5,'QB_Funds Analysis raw'!$B$5:$AC$5, _xlfn.XLOOKUP($A47,'QB_Funds Analysis raw'!$A$6:$A$104,'QB_Funds Analysis raw'!$B$6:$AC$104))),0,(_xlfn.XLOOKUP(P$5,'QB_Funds Analysis raw'!$B$5:$AC$5, _xlfn.XLOOKUP($A47,'QB_Funds Analysis raw'!$A$6:$A$104,'QB_Funds Analysis raw'!$B$6:$AC$104))))</f>
        <v>0</v>
      </c>
      <c r="Q47" s="247" cm="1">
        <f t="array" ref="Q47">IF(ISERROR(_xlfn.XLOOKUP(Q$5,'QB_Funds Analysis raw'!$B$5:$AC$5, _xlfn.XLOOKUP($A47,'QB_Funds Analysis raw'!$A$6:$A$104,'QB_Funds Analysis raw'!$B$6:$AC$104))),0,(_xlfn.XLOOKUP(Q$5,'QB_Funds Analysis raw'!$B$5:$AC$5, _xlfn.XLOOKUP($A47,'QB_Funds Analysis raw'!$A$6:$A$104,'QB_Funds Analysis raw'!$B$6:$AC$104))))</f>
        <v>332.22</v>
      </c>
      <c r="R47" s="142" cm="1">
        <f t="array" ref="R47">IF(ISERROR(_xlfn.XLOOKUP(R$5,'QB_Funds Analysis raw'!$B$5:$AC$5, _xlfn.XLOOKUP($A47,'QB_Funds Analysis raw'!$A$6:$A$104,'QB_Funds Analysis raw'!$B$6:$AC$104))),0,(_xlfn.XLOOKUP(R$5,'QB_Funds Analysis raw'!$B$5:$AC$5, _xlfn.XLOOKUP($A47,'QB_Funds Analysis raw'!$A$6:$A$104,'QB_Funds Analysis raw'!$B$6:$AC$104))))</f>
        <v>0</v>
      </c>
      <c r="S47" s="142" cm="1">
        <f t="array" ref="S47">IF(ISERROR(_xlfn.XLOOKUP(S$5,'QB_Funds Analysis raw'!$B$5:$AC$5, _xlfn.XLOOKUP($A47,'QB_Funds Analysis raw'!$A$6:$A$104,'QB_Funds Analysis raw'!$B$6:$AC$104))),0,(_xlfn.XLOOKUP(S$5,'QB_Funds Analysis raw'!$B$5:$AC$5, _xlfn.XLOOKUP($A47,'QB_Funds Analysis raw'!$A$6:$A$104,'QB_Funds Analysis raw'!$B$6:$AC$104))))</f>
        <v>0</v>
      </c>
      <c r="T47" s="142" cm="1">
        <f t="array" ref="T47">IF(ISERROR(_xlfn.XLOOKUP(T$5,'QB_Funds Analysis raw'!$B$5:$AC$5, _xlfn.XLOOKUP($A47,'QB_Funds Analysis raw'!$A$6:$A$104,'QB_Funds Analysis raw'!$B$6:$AC$104))),0,(_xlfn.XLOOKUP(T$5,'QB_Funds Analysis raw'!$B$5:$AC$5, _xlfn.XLOOKUP($A47,'QB_Funds Analysis raw'!$A$6:$A$104,'QB_Funds Analysis raw'!$B$6:$AC$104))))</f>
        <v>0</v>
      </c>
      <c r="U47" s="142" cm="1">
        <f t="array" ref="U47">IF(ISERROR(_xlfn.XLOOKUP(U$5,'QB_Funds Analysis raw'!$B$5:$AC$5, _xlfn.XLOOKUP($A47,'QB_Funds Analysis raw'!$A$6:$A$104,'QB_Funds Analysis raw'!$B$6:$AC$104))),0,(_xlfn.XLOOKUP(U$5,'QB_Funds Analysis raw'!$B$5:$AC$5, _xlfn.XLOOKUP($A47,'QB_Funds Analysis raw'!$A$6:$A$104,'QB_Funds Analysis raw'!$B$6:$AC$104))))</f>
        <v>0</v>
      </c>
      <c r="V47" s="142" cm="1">
        <f t="array" ref="V47">IF(ISERROR(_xlfn.XLOOKUP(V$5,'QB_Funds Analysis raw'!$B$5:$AC$5, _xlfn.XLOOKUP($A47,'QB_Funds Analysis raw'!$A$6:$A$104,'QB_Funds Analysis raw'!$B$6:$AC$104))),0,(_xlfn.XLOOKUP(V$5,'QB_Funds Analysis raw'!$B$5:$AC$5, _xlfn.XLOOKUP($A47,'QB_Funds Analysis raw'!$A$6:$A$104,'QB_Funds Analysis raw'!$B$6:$AC$104))))</f>
        <v>0</v>
      </c>
      <c r="W47" s="142" cm="1">
        <f t="array" ref="W47">IF(ISERROR(_xlfn.XLOOKUP(W$5,'QB_Funds Analysis raw'!$B$5:$AC$5, _xlfn.XLOOKUP($A47,'QB_Funds Analysis raw'!$A$6:$A$104,'QB_Funds Analysis raw'!$B$6:$AC$104))),0,(_xlfn.XLOOKUP(W$5,'QB_Funds Analysis raw'!$B$5:$AC$5, _xlfn.XLOOKUP($A47,'QB_Funds Analysis raw'!$A$6:$A$104,'QB_Funds Analysis raw'!$B$6:$AC$104))))</f>
        <v>0</v>
      </c>
      <c r="X47" s="142" cm="1">
        <f t="array" ref="X47">IF(ISERROR(_xlfn.XLOOKUP(X$5,'QB_Funds Analysis raw'!$B$5:$AC$5, _xlfn.XLOOKUP($A47,'QB_Funds Analysis raw'!$A$6:$A$104,'QB_Funds Analysis raw'!$B$6:$AC$104))),0,(_xlfn.XLOOKUP(X$5,'QB_Funds Analysis raw'!$B$5:$AC$5, _xlfn.XLOOKUP($A47,'QB_Funds Analysis raw'!$A$6:$A$104,'QB_Funds Analysis raw'!$B$6:$AC$104))))</f>
        <v>0</v>
      </c>
      <c r="Y47" s="142" cm="1">
        <f t="array" ref="Y47">IF(ISERROR(_xlfn.XLOOKUP(Y$5,'QB_Funds Analysis raw'!$B$5:$AC$5, _xlfn.XLOOKUP($A47,'QB_Funds Analysis raw'!$A$6:$A$104,'QB_Funds Analysis raw'!$B$6:$AC$104))),0,(_xlfn.XLOOKUP(Y$5,'QB_Funds Analysis raw'!$B$5:$AC$5, _xlfn.XLOOKUP($A47,'QB_Funds Analysis raw'!$A$6:$A$104,'QB_Funds Analysis raw'!$B$6:$AC$104))))</f>
        <v>0</v>
      </c>
      <c r="Z47" s="142" cm="1">
        <f t="array" ref="Z47">IF(ISERROR(_xlfn.XLOOKUP(Z$5,'QB_Funds Analysis raw'!$B$5:$AC$5, _xlfn.XLOOKUP($A47,'QB_Funds Analysis raw'!$A$6:$A$104,'QB_Funds Analysis raw'!$B$6:$AC$104))),0,(_xlfn.XLOOKUP(Z$5,'QB_Funds Analysis raw'!$B$5:$AC$5, _xlfn.XLOOKUP($A47,'QB_Funds Analysis raw'!$A$6:$A$104,'QB_Funds Analysis raw'!$B$6:$AC$104))))</f>
        <v>0</v>
      </c>
      <c r="AA47" s="142" cm="1">
        <f t="array" ref="AA47">IF(ISERROR(_xlfn.XLOOKUP(AA$5,'QB_Funds Analysis raw'!$B$5:$AC$5, _xlfn.XLOOKUP($A47,'QB_Funds Analysis raw'!$A$6:$A$104,'QB_Funds Analysis raw'!$B$6:$AC$104))),0,(_xlfn.XLOOKUP(AA$5,'QB_Funds Analysis raw'!$B$5:$AC$5, _xlfn.XLOOKUP($A47,'QB_Funds Analysis raw'!$A$6:$A$104,'QB_Funds Analysis raw'!$B$6:$AC$104))))</f>
        <v>0</v>
      </c>
      <c r="AB47" s="142" cm="1">
        <f t="array" ref="AB47">IF(ISERROR(_xlfn.XLOOKUP(AB$5,'QB_Funds Analysis raw'!$B$5:$AC$5, _xlfn.XLOOKUP($A47,'QB_Funds Analysis raw'!$A$6:$A$104,'QB_Funds Analysis raw'!$B$6:$AC$104))),0,(_xlfn.XLOOKUP(AB$5,'QB_Funds Analysis raw'!$B$5:$AC$5, _xlfn.XLOOKUP($A47,'QB_Funds Analysis raw'!$A$6:$A$104,'QB_Funds Analysis raw'!$B$6:$AC$104))))</f>
        <v>732.42</v>
      </c>
      <c r="AC47" s="142" cm="1">
        <f t="array" ref="AC47">IF(ISERROR(_xlfn.XLOOKUP(AC$5,'QB_Funds Analysis raw'!$B$5:$AC$5, _xlfn.XLOOKUP($A47,'QB_Funds Analysis raw'!$A$6:$A$104,'QB_Funds Analysis raw'!$B$6:$AC$104))),0,(_xlfn.XLOOKUP(AC$5,'QB_Funds Analysis raw'!$B$5:$AC$5, _xlfn.XLOOKUP($A47,'QB_Funds Analysis raw'!$A$6:$A$104,'QB_Funds Analysis raw'!$B$6:$AC$104))))</f>
        <v>1064.6399999999999</v>
      </c>
      <c r="AD47" s="167">
        <f t="shared" si="13"/>
        <v>1064.6399999999999</v>
      </c>
      <c r="AE47" s="167">
        <f t="shared" si="4"/>
        <v>0</v>
      </c>
    </row>
    <row r="48" spans="1:31" ht="20.25" customHeight="1" x14ac:dyDescent="0.25">
      <c r="A48" s="135" t="s">
        <v>51</v>
      </c>
      <c r="B48" s="153">
        <f>(((((B42)+(B43))+(B44))+(B45))+(B46))+(B47)</f>
        <v>0</v>
      </c>
      <c r="C48" s="153">
        <f t="shared" ref="C48:AC48" si="16">(((((C42)+(C43))+(C44))+(C45))+(C46))+(C47)</f>
        <v>0</v>
      </c>
      <c r="D48" s="253">
        <f t="shared" si="16"/>
        <v>0</v>
      </c>
      <c r="E48" s="153">
        <f t="shared" si="16"/>
        <v>0</v>
      </c>
      <c r="F48" s="153">
        <f t="shared" si="16"/>
        <v>0</v>
      </c>
      <c r="G48" s="153">
        <f t="shared" si="16"/>
        <v>0</v>
      </c>
      <c r="H48" s="153">
        <f t="shared" si="16"/>
        <v>16.899999999999999</v>
      </c>
      <c r="I48" s="153">
        <f t="shared" si="16"/>
        <v>0</v>
      </c>
      <c r="J48" s="153">
        <f t="shared" si="16"/>
        <v>332.22</v>
      </c>
      <c r="K48" s="253">
        <f t="shared" si="16"/>
        <v>0</v>
      </c>
      <c r="L48" s="153">
        <f t="shared" si="16"/>
        <v>0</v>
      </c>
      <c r="M48" s="153">
        <f t="shared" si="16"/>
        <v>0</v>
      </c>
      <c r="N48" s="253">
        <f t="shared" si="16"/>
        <v>0</v>
      </c>
      <c r="O48" s="253">
        <f t="shared" si="16"/>
        <v>0</v>
      </c>
      <c r="P48" s="153">
        <f t="shared" si="16"/>
        <v>0</v>
      </c>
      <c r="Q48" s="244">
        <f t="shared" si="16"/>
        <v>332.22</v>
      </c>
      <c r="R48" s="153">
        <f t="shared" si="16"/>
        <v>0</v>
      </c>
      <c r="S48" s="153">
        <f t="shared" si="16"/>
        <v>0</v>
      </c>
      <c r="T48" s="153">
        <f t="shared" si="16"/>
        <v>0</v>
      </c>
      <c r="U48" s="153">
        <f t="shared" si="16"/>
        <v>0</v>
      </c>
      <c r="V48" s="153">
        <f t="shared" si="16"/>
        <v>0</v>
      </c>
      <c r="W48" s="153">
        <f t="shared" si="16"/>
        <v>0</v>
      </c>
      <c r="X48" s="153">
        <f t="shared" si="16"/>
        <v>0</v>
      </c>
      <c r="Y48" s="153">
        <f t="shared" si="16"/>
        <v>0</v>
      </c>
      <c r="Z48" s="153">
        <f t="shared" si="16"/>
        <v>0</v>
      </c>
      <c r="AA48" s="153">
        <f t="shared" si="16"/>
        <v>0</v>
      </c>
      <c r="AB48" s="153">
        <f t="shared" si="16"/>
        <v>1269.6199999999999</v>
      </c>
      <c r="AC48" s="153">
        <f t="shared" si="16"/>
        <v>1601.84</v>
      </c>
      <c r="AD48" s="167">
        <f t="shared" si="13"/>
        <v>1601.84</v>
      </c>
      <c r="AE48" s="167">
        <f t="shared" si="4"/>
        <v>0</v>
      </c>
    </row>
    <row r="49" spans="1:31" ht="20.25" customHeight="1" x14ac:dyDescent="0.25">
      <c r="A49" s="137" t="s">
        <v>52</v>
      </c>
      <c r="B49" s="150"/>
      <c r="C49" s="150"/>
      <c r="D49" s="252"/>
      <c r="E49" s="150"/>
      <c r="F49" s="150"/>
      <c r="G49" s="150"/>
      <c r="H49" s="150"/>
      <c r="I49" s="150"/>
      <c r="J49" s="150"/>
      <c r="K49" s="252"/>
      <c r="L49" s="150"/>
      <c r="M49" s="150"/>
      <c r="N49" s="252"/>
      <c r="O49" s="252"/>
      <c r="P49" s="150"/>
      <c r="Q49" s="247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67">
        <f t="shared" si="13"/>
        <v>0</v>
      </c>
      <c r="AE49" s="167">
        <f t="shared" si="4"/>
        <v>0</v>
      </c>
    </row>
    <row r="50" spans="1:31" ht="20.25" customHeight="1" x14ac:dyDescent="0.25">
      <c r="A50" s="2" t="s">
        <v>53</v>
      </c>
      <c r="B50" s="142" cm="1">
        <f t="array" ref="B50">IF(ISERROR(_xlfn.XLOOKUP(B$5,'QB_Funds Analysis raw'!$B$5:$AC$5, _xlfn.XLOOKUP($A50,'QB_Funds Analysis raw'!$A$6:$A$104,'QB_Funds Analysis raw'!$B$6:$AC$104))),0,(_xlfn.XLOOKUP(B$5,'QB_Funds Analysis raw'!$B$5:$AC$5, _xlfn.XLOOKUP($A50,'QB_Funds Analysis raw'!$A$6:$A$104,'QB_Funds Analysis raw'!$B$6:$AC$104))))</f>
        <v>0</v>
      </c>
      <c r="C50" s="142" cm="1">
        <f t="array" ref="C50">IF(ISERROR(_xlfn.XLOOKUP(C$5,'QB_Funds Analysis raw'!$B$5:$AC$5, _xlfn.XLOOKUP($A50,'QB_Funds Analysis raw'!$A$6:$A$104,'QB_Funds Analysis raw'!$B$6:$AC$104))),0,(_xlfn.XLOOKUP(C$5,'QB_Funds Analysis raw'!$B$5:$AC$5, _xlfn.XLOOKUP($A50,'QB_Funds Analysis raw'!$A$6:$A$104,'QB_Funds Analysis raw'!$B$6:$AC$104))))</f>
        <v>0</v>
      </c>
      <c r="D50" s="252" cm="1">
        <f t="array" ref="D50">IF(ISERROR(_xlfn.XLOOKUP(D$5,'QB_Funds Analysis raw'!$B$5:$AC$5, _xlfn.XLOOKUP($A50,'QB_Funds Analysis raw'!$A$6:$A$104,'QB_Funds Analysis raw'!$B$6:$AC$104))),0,(_xlfn.XLOOKUP(D$5,'QB_Funds Analysis raw'!$B$5:$AC$5, _xlfn.XLOOKUP($A50,'QB_Funds Analysis raw'!$A$6:$A$104,'QB_Funds Analysis raw'!$B$6:$AC$104))))</f>
        <v>0</v>
      </c>
      <c r="E50" s="142" cm="1">
        <f t="array" ref="E50">IF(ISERROR(_xlfn.XLOOKUP(E$5,'QB_Funds Analysis raw'!$B$5:$AC$5, _xlfn.XLOOKUP($A50,'QB_Funds Analysis raw'!$A$6:$A$104,'QB_Funds Analysis raw'!$B$6:$AC$104))),0,(_xlfn.XLOOKUP(E$5,'QB_Funds Analysis raw'!$B$5:$AC$5, _xlfn.XLOOKUP($A50,'QB_Funds Analysis raw'!$A$6:$A$104,'QB_Funds Analysis raw'!$B$6:$AC$104))))</f>
        <v>0</v>
      </c>
      <c r="F50" s="142" cm="1">
        <f t="array" ref="F50">IF(ISERROR(_xlfn.XLOOKUP(F$5,'QB_Funds Analysis raw'!$B$5:$AC$5, _xlfn.XLOOKUP($A50,'QB_Funds Analysis raw'!$A$6:$A$104,'QB_Funds Analysis raw'!$B$6:$AC$104))),0,(_xlfn.XLOOKUP(F$5,'QB_Funds Analysis raw'!$B$5:$AC$5, _xlfn.XLOOKUP($A50,'QB_Funds Analysis raw'!$A$6:$A$104,'QB_Funds Analysis raw'!$B$6:$AC$104))))</f>
        <v>0</v>
      </c>
      <c r="G50" s="142" cm="1">
        <f t="array" ref="G50">IF(ISERROR(_xlfn.XLOOKUP(G$5,'QB_Funds Analysis raw'!$B$5:$AC$5, _xlfn.XLOOKUP($A50,'QB_Funds Analysis raw'!$A$6:$A$104,'QB_Funds Analysis raw'!$B$6:$AC$104))),0,(_xlfn.XLOOKUP(G$5,'QB_Funds Analysis raw'!$B$5:$AC$5, _xlfn.XLOOKUP($A50,'QB_Funds Analysis raw'!$A$6:$A$104,'QB_Funds Analysis raw'!$B$6:$AC$104))))</f>
        <v>0</v>
      </c>
      <c r="H50" s="142" cm="1">
        <f t="array" ref="H50">IF(ISERROR(_xlfn.XLOOKUP(H$5,'QB_Funds Analysis raw'!$B$5:$AC$5, _xlfn.XLOOKUP($A50,'QB_Funds Analysis raw'!$A$6:$A$104,'QB_Funds Analysis raw'!$B$6:$AC$104))),0,(_xlfn.XLOOKUP(H$5,'QB_Funds Analysis raw'!$B$5:$AC$5, _xlfn.XLOOKUP($A50,'QB_Funds Analysis raw'!$A$6:$A$104,'QB_Funds Analysis raw'!$B$6:$AC$104))))</f>
        <v>0</v>
      </c>
      <c r="I50" s="142" cm="1">
        <f t="array" ref="I50">IF(ISERROR(_xlfn.XLOOKUP(I$5,'QB_Funds Analysis raw'!$B$5:$AC$5, _xlfn.XLOOKUP($A50,'QB_Funds Analysis raw'!$A$6:$A$104,'QB_Funds Analysis raw'!$B$6:$AC$104))),0,(_xlfn.XLOOKUP(I$5,'QB_Funds Analysis raw'!$B$5:$AC$5, _xlfn.XLOOKUP($A50,'QB_Funds Analysis raw'!$A$6:$A$104,'QB_Funds Analysis raw'!$B$6:$AC$104))))</f>
        <v>0</v>
      </c>
      <c r="J50" s="142" cm="1">
        <f t="array" ref="J50">IF(ISERROR(_xlfn.XLOOKUP(J$5,'QB_Funds Analysis raw'!$B$5:$AC$5, _xlfn.XLOOKUP($A50,'QB_Funds Analysis raw'!$A$6:$A$104,'QB_Funds Analysis raw'!$B$6:$AC$104))),0,(_xlfn.XLOOKUP(J$5,'QB_Funds Analysis raw'!$B$5:$AC$5, _xlfn.XLOOKUP($A50,'QB_Funds Analysis raw'!$A$6:$A$104,'QB_Funds Analysis raw'!$B$6:$AC$104))))</f>
        <v>0</v>
      </c>
      <c r="K50" s="252" cm="1">
        <f t="array" ref="K50">IF(ISERROR(_xlfn.XLOOKUP(K$5,'QB_Funds Analysis raw'!$B$5:$AC$5, _xlfn.XLOOKUP($A50,'QB_Funds Analysis raw'!$A$6:$A$104,'QB_Funds Analysis raw'!$B$6:$AC$104))),0,(_xlfn.XLOOKUP(K$5,'QB_Funds Analysis raw'!$B$5:$AC$5, _xlfn.XLOOKUP($A50,'QB_Funds Analysis raw'!$A$6:$A$104,'QB_Funds Analysis raw'!$B$6:$AC$104))))</f>
        <v>0</v>
      </c>
      <c r="L50" s="142" cm="1">
        <f t="array" ref="L50">IF(ISERROR(_xlfn.XLOOKUP(L$5,'QB_Funds Analysis raw'!$B$5:$AC$5, _xlfn.XLOOKUP($A50,'QB_Funds Analysis raw'!$A$6:$A$104,'QB_Funds Analysis raw'!$B$6:$AC$104))),0,(_xlfn.XLOOKUP(L$5,'QB_Funds Analysis raw'!$B$5:$AC$5, _xlfn.XLOOKUP($A50,'QB_Funds Analysis raw'!$A$6:$A$104,'QB_Funds Analysis raw'!$B$6:$AC$104))))</f>
        <v>0</v>
      </c>
      <c r="M50" s="142" cm="1">
        <f t="array" ref="M50">IF(ISERROR(_xlfn.XLOOKUP(M$5,'QB_Funds Analysis raw'!$B$5:$AC$5, _xlfn.XLOOKUP($A50,'QB_Funds Analysis raw'!$A$6:$A$104,'QB_Funds Analysis raw'!$B$6:$AC$104))),0,(_xlfn.XLOOKUP(M$5,'QB_Funds Analysis raw'!$B$5:$AC$5, _xlfn.XLOOKUP($A50,'QB_Funds Analysis raw'!$A$6:$A$104,'QB_Funds Analysis raw'!$B$6:$AC$104))))</f>
        <v>0</v>
      </c>
      <c r="N50" s="252" cm="1">
        <f t="array" ref="N50">IF(ISERROR(_xlfn.XLOOKUP(N$5,'QB_Funds Analysis raw'!$B$5:$AC$5, _xlfn.XLOOKUP($A50,'QB_Funds Analysis raw'!$A$6:$A$104,'QB_Funds Analysis raw'!$B$6:$AC$104))),0,(_xlfn.XLOOKUP(N$5,'QB_Funds Analysis raw'!$B$5:$AC$5, _xlfn.XLOOKUP($A50,'QB_Funds Analysis raw'!$A$6:$A$104,'QB_Funds Analysis raw'!$B$6:$AC$104))))</f>
        <v>0</v>
      </c>
      <c r="O50" s="252" cm="1">
        <f t="array" ref="O50">IF(ISERROR(_xlfn.XLOOKUP(O$5,'QB_Funds Analysis raw'!$B$5:$AC$5, _xlfn.XLOOKUP($A50,'QB_Funds Analysis raw'!$A$6:$A$104,'QB_Funds Analysis raw'!$B$6:$AC$104))),0,(_xlfn.XLOOKUP(O$5,'QB_Funds Analysis raw'!$B$5:$AC$5, _xlfn.XLOOKUP($A50,'QB_Funds Analysis raw'!$A$6:$A$104,'QB_Funds Analysis raw'!$B$6:$AC$104))))</f>
        <v>0</v>
      </c>
      <c r="P50" s="142" cm="1">
        <f t="array" ref="P50">IF(ISERROR(_xlfn.XLOOKUP(P$5,'QB_Funds Analysis raw'!$B$5:$AC$5, _xlfn.XLOOKUP($A50,'QB_Funds Analysis raw'!$A$6:$A$104,'QB_Funds Analysis raw'!$B$6:$AC$104))),0,(_xlfn.XLOOKUP(P$5,'QB_Funds Analysis raw'!$B$5:$AC$5, _xlfn.XLOOKUP($A50,'QB_Funds Analysis raw'!$A$6:$A$104,'QB_Funds Analysis raw'!$B$6:$AC$104))))</f>
        <v>0</v>
      </c>
      <c r="Q50" s="247" cm="1">
        <f t="array" ref="Q50">IF(ISERROR(_xlfn.XLOOKUP(Q$5,'QB_Funds Analysis raw'!$B$5:$AC$5, _xlfn.XLOOKUP($A50,'QB_Funds Analysis raw'!$A$6:$A$104,'QB_Funds Analysis raw'!$B$6:$AC$104))),0,(_xlfn.XLOOKUP(Q$5,'QB_Funds Analysis raw'!$B$5:$AC$5, _xlfn.XLOOKUP($A50,'QB_Funds Analysis raw'!$A$6:$A$104,'QB_Funds Analysis raw'!$B$6:$AC$104))))</f>
        <v>0</v>
      </c>
      <c r="R50" s="142" cm="1">
        <f t="array" ref="R50">IF(ISERROR(_xlfn.XLOOKUP(R$5,'QB_Funds Analysis raw'!$B$5:$AC$5, _xlfn.XLOOKUP($A50,'QB_Funds Analysis raw'!$A$6:$A$104,'QB_Funds Analysis raw'!$B$6:$AC$104))),0,(_xlfn.XLOOKUP(R$5,'QB_Funds Analysis raw'!$B$5:$AC$5, _xlfn.XLOOKUP($A50,'QB_Funds Analysis raw'!$A$6:$A$104,'QB_Funds Analysis raw'!$B$6:$AC$104))))</f>
        <v>0</v>
      </c>
      <c r="S50" s="142" cm="1">
        <f t="array" ref="S50">IF(ISERROR(_xlfn.XLOOKUP(S$5,'QB_Funds Analysis raw'!$B$5:$AC$5, _xlfn.XLOOKUP($A50,'QB_Funds Analysis raw'!$A$6:$A$104,'QB_Funds Analysis raw'!$B$6:$AC$104))),0,(_xlfn.XLOOKUP(S$5,'QB_Funds Analysis raw'!$B$5:$AC$5, _xlfn.XLOOKUP($A50,'QB_Funds Analysis raw'!$A$6:$A$104,'QB_Funds Analysis raw'!$B$6:$AC$104))))</f>
        <v>0</v>
      </c>
      <c r="T50" s="142" cm="1">
        <f t="array" ref="T50">IF(ISERROR(_xlfn.XLOOKUP(T$5,'QB_Funds Analysis raw'!$B$5:$AC$5, _xlfn.XLOOKUP($A50,'QB_Funds Analysis raw'!$A$6:$A$104,'QB_Funds Analysis raw'!$B$6:$AC$104))),0,(_xlfn.XLOOKUP(T$5,'QB_Funds Analysis raw'!$B$5:$AC$5, _xlfn.XLOOKUP($A50,'QB_Funds Analysis raw'!$A$6:$A$104,'QB_Funds Analysis raw'!$B$6:$AC$104))))</f>
        <v>0</v>
      </c>
      <c r="U50" s="142" cm="1">
        <f t="array" ref="U50">IF(ISERROR(_xlfn.XLOOKUP(U$5,'QB_Funds Analysis raw'!$B$5:$AC$5, _xlfn.XLOOKUP($A50,'QB_Funds Analysis raw'!$A$6:$A$104,'QB_Funds Analysis raw'!$B$6:$AC$104))),0,(_xlfn.XLOOKUP(U$5,'QB_Funds Analysis raw'!$B$5:$AC$5, _xlfn.XLOOKUP($A50,'QB_Funds Analysis raw'!$A$6:$A$104,'QB_Funds Analysis raw'!$B$6:$AC$104))))</f>
        <v>0</v>
      </c>
      <c r="V50" s="142" cm="1">
        <f t="array" ref="V50">IF(ISERROR(_xlfn.XLOOKUP(V$5,'QB_Funds Analysis raw'!$B$5:$AC$5, _xlfn.XLOOKUP($A50,'QB_Funds Analysis raw'!$A$6:$A$104,'QB_Funds Analysis raw'!$B$6:$AC$104))),0,(_xlfn.XLOOKUP(V$5,'QB_Funds Analysis raw'!$B$5:$AC$5, _xlfn.XLOOKUP($A50,'QB_Funds Analysis raw'!$A$6:$A$104,'QB_Funds Analysis raw'!$B$6:$AC$104))))</f>
        <v>0</v>
      </c>
      <c r="W50" s="142" cm="1">
        <f t="array" ref="W50">IF(ISERROR(_xlfn.XLOOKUP(W$5,'QB_Funds Analysis raw'!$B$5:$AC$5, _xlfn.XLOOKUP($A50,'QB_Funds Analysis raw'!$A$6:$A$104,'QB_Funds Analysis raw'!$B$6:$AC$104))),0,(_xlfn.XLOOKUP(W$5,'QB_Funds Analysis raw'!$B$5:$AC$5, _xlfn.XLOOKUP($A50,'QB_Funds Analysis raw'!$A$6:$A$104,'QB_Funds Analysis raw'!$B$6:$AC$104))))</f>
        <v>0</v>
      </c>
      <c r="X50" s="142" cm="1">
        <f t="array" ref="X50">IF(ISERROR(_xlfn.XLOOKUP(X$5,'QB_Funds Analysis raw'!$B$5:$AC$5, _xlfn.XLOOKUP($A50,'QB_Funds Analysis raw'!$A$6:$A$104,'QB_Funds Analysis raw'!$B$6:$AC$104))),0,(_xlfn.XLOOKUP(X$5,'QB_Funds Analysis raw'!$B$5:$AC$5, _xlfn.XLOOKUP($A50,'QB_Funds Analysis raw'!$A$6:$A$104,'QB_Funds Analysis raw'!$B$6:$AC$104))))</f>
        <v>0</v>
      </c>
      <c r="Y50" s="142" cm="1">
        <f t="array" ref="Y50">IF(ISERROR(_xlfn.XLOOKUP(Y$5,'QB_Funds Analysis raw'!$B$5:$AC$5, _xlfn.XLOOKUP($A50,'QB_Funds Analysis raw'!$A$6:$A$104,'QB_Funds Analysis raw'!$B$6:$AC$104))),0,(_xlfn.XLOOKUP(Y$5,'QB_Funds Analysis raw'!$B$5:$AC$5, _xlfn.XLOOKUP($A50,'QB_Funds Analysis raw'!$A$6:$A$104,'QB_Funds Analysis raw'!$B$6:$AC$104))))</f>
        <v>0</v>
      </c>
      <c r="Z50" s="142" cm="1">
        <f t="array" ref="Z50">IF(ISERROR(_xlfn.XLOOKUP(Z$5,'QB_Funds Analysis raw'!$B$5:$AC$5, _xlfn.XLOOKUP($A50,'QB_Funds Analysis raw'!$A$6:$A$104,'QB_Funds Analysis raw'!$B$6:$AC$104))),0,(_xlfn.XLOOKUP(Z$5,'QB_Funds Analysis raw'!$B$5:$AC$5, _xlfn.XLOOKUP($A50,'QB_Funds Analysis raw'!$A$6:$A$104,'QB_Funds Analysis raw'!$B$6:$AC$104))))</f>
        <v>0</v>
      </c>
      <c r="AA50" s="142" cm="1">
        <f t="array" ref="AA50">IF(ISERROR(_xlfn.XLOOKUP(AA$5,'QB_Funds Analysis raw'!$B$5:$AC$5, _xlfn.XLOOKUP($A50,'QB_Funds Analysis raw'!$A$6:$A$104,'QB_Funds Analysis raw'!$B$6:$AC$104))),0,(_xlfn.XLOOKUP(AA$5,'QB_Funds Analysis raw'!$B$5:$AC$5, _xlfn.XLOOKUP($A50,'QB_Funds Analysis raw'!$A$6:$A$104,'QB_Funds Analysis raw'!$B$6:$AC$104))))</f>
        <v>0</v>
      </c>
      <c r="AB50" s="142" cm="1">
        <f t="array" ref="AB50">IF(ISERROR(_xlfn.XLOOKUP(AB$5,'QB_Funds Analysis raw'!$B$5:$AC$5, _xlfn.XLOOKUP($A50,'QB_Funds Analysis raw'!$A$6:$A$104,'QB_Funds Analysis raw'!$B$6:$AC$104))),0,(_xlfn.XLOOKUP(AB$5,'QB_Funds Analysis raw'!$B$5:$AC$5, _xlfn.XLOOKUP($A50,'QB_Funds Analysis raw'!$A$6:$A$104,'QB_Funds Analysis raw'!$B$6:$AC$104))))</f>
        <v>1907.2</v>
      </c>
      <c r="AC50" s="142" cm="1">
        <f t="array" ref="AC50">IF(ISERROR(_xlfn.XLOOKUP(AC$5,'QB_Funds Analysis raw'!$B$5:$AC$5, _xlfn.XLOOKUP($A50,'QB_Funds Analysis raw'!$A$6:$A$104,'QB_Funds Analysis raw'!$B$6:$AC$104))),0,(_xlfn.XLOOKUP(AC$5,'QB_Funds Analysis raw'!$B$5:$AC$5, _xlfn.XLOOKUP($A50,'QB_Funds Analysis raw'!$A$6:$A$104,'QB_Funds Analysis raw'!$B$6:$AC$104))))</f>
        <v>1907.2</v>
      </c>
      <c r="AD50" s="167">
        <f t="shared" si="13"/>
        <v>1907.2</v>
      </c>
      <c r="AE50" s="167">
        <f t="shared" si="4"/>
        <v>0</v>
      </c>
    </row>
    <row r="51" spans="1:31" ht="20.25" customHeight="1" x14ac:dyDescent="0.25">
      <c r="A51" s="2" t="s">
        <v>54</v>
      </c>
      <c r="B51" s="142" cm="1">
        <f t="array" ref="B51">IF(ISERROR(_xlfn.XLOOKUP(B$5,'QB_Funds Analysis raw'!$B$5:$AC$5, _xlfn.XLOOKUP($A51,'QB_Funds Analysis raw'!$A$6:$A$104,'QB_Funds Analysis raw'!$B$6:$AC$104))),0,(_xlfn.XLOOKUP(B$5,'QB_Funds Analysis raw'!$B$5:$AC$5, _xlfn.XLOOKUP($A51,'QB_Funds Analysis raw'!$A$6:$A$104,'QB_Funds Analysis raw'!$B$6:$AC$104))))</f>
        <v>0</v>
      </c>
      <c r="C51" s="142" cm="1">
        <f t="array" ref="C51">IF(ISERROR(_xlfn.XLOOKUP(C$5,'QB_Funds Analysis raw'!$B$5:$AC$5, _xlfn.XLOOKUP($A51,'QB_Funds Analysis raw'!$A$6:$A$104,'QB_Funds Analysis raw'!$B$6:$AC$104))),0,(_xlfn.XLOOKUP(C$5,'QB_Funds Analysis raw'!$B$5:$AC$5, _xlfn.XLOOKUP($A51,'QB_Funds Analysis raw'!$A$6:$A$104,'QB_Funds Analysis raw'!$B$6:$AC$104))))</f>
        <v>0</v>
      </c>
      <c r="D51" s="252" cm="1">
        <f t="array" ref="D51">IF(ISERROR(_xlfn.XLOOKUP(D$5,'QB_Funds Analysis raw'!$B$5:$AC$5, _xlfn.XLOOKUP($A51,'QB_Funds Analysis raw'!$A$6:$A$104,'QB_Funds Analysis raw'!$B$6:$AC$104))),0,(_xlfn.XLOOKUP(D$5,'QB_Funds Analysis raw'!$B$5:$AC$5, _xlfn.XLOOKUP($A51,'QB_Funds Analysis raw'!$A$6:$A$104,'QB_Funds Analysis raw'!$B$6:$AC$104))))</f>
        <v>0</v>
      </c>
      <c r="E51" s="142" cm="1">
        <f t="array" ref="E51">IF(ISERROR(_xlfn.XLOOKUP(E$5,'QB_Funds Analysis raw'!$B$5:$AC$5, _xlfn.XLOOKUP($A51,'QB_Funds Analysis raw'!$A$6:$A$104,'QB_Funds Analysis raw'!$B$6:$AC$104))),0,(_xlfn.XLOOKUP(E$5,'QB_Funds Analysis raw'!$B$5:$AC$5, _xlfn.XLOOKUP($A51,'QB_Funds Analysis raw'!$A$6:$A$104,'QB_Funds Analysis raw'!$B$6:$AC$104))))</f>
        <v>0</v>
      </c>
      <c r="F51" s="142" cm="1">
        <f t="array" ref="F51">IF(ISERROR(_xlfn.XLOOKUP(F$5,'QB_Funds Analysis raw'!$B$5:$AC$5, _xlfn.XLOOKUP($A51,'QB_Funds Analysis raw'!$A$6:$A$104,'QB_Funds Analysis raw'!$B$6:$AC$104))),0,(_xlfn.XLOOKUP(F$5,'QB_Funds Analysis raw'!$B$5:$AC$5, _xlfn.XLOOKUP($A51,'QB_Funds Analysis raw'!$A$6:$A$104,'QB_Funds Analysis raw'!$B$6:$AC$104))))</f>
        <v>0</v>
      </c>
      <c r="G51" s="142" cm="1">
        <f t="array" ref="G51">IF(ISERROR(_xlfn.XLOOKUP(G$5,'QB_Funds Analysis raw'!$B$5:$AC$5, _xlfn.XLOOKUP($A51,'QB_Funds Analysis raw'!$A$6:$A$104,'QB_Funds Analysis raw'!$B$6:$AC$104))),0,(_xlfn.XLOOKUP(G$5,'QB_Funds Analysis raw'!$B$5:$AC$5, _xlfn.XLOOKUP($A51,'QB_Funds Analysis raw'!$A$6:$A$104,'QB_Funds Analysis raw'!$B$6:$AC$104))))</f>
        <v>0</v>
      </c>
      <c r="H51" s="142" cm="1">
        <f t="array" ref="H51">IF(ISERROR(_xlfn.XLOOKUP(H$5,'QB_Funds Analysis raw'!$B$5:$AC$5, _xlfn.XLOOKUP($A51,'QB_Funds Analysis raw'!$A$6:$A$104,'QB_Funds Analysis raw'!$B$6:$AC$104))),0,(_xlfn.XLOOKUP(H$5,'QB_Funds Analysis raw'!$B$5:$AC$5, _xlfn.XLOOKUP($A51,'QB_Funds Analysis raw'!$A$6:$A$104,'QB_Funds Analysis raw'!$B$6:$AC$104))))</f>
        <v>0</v>
      </c>
      <c r="I51" s="142" cm="1">
        <f t="array" ref="I51">IF(ISERROR(_xlfn.XLOOKUP(I$5,'QB_Funds Analysis raw'!$B$5:$AC$5, _xlfn.XLOOKUP($A51,'QB_Funds Analysis raw'!$A$6:$A$104,'QB_Funds Analysis raw'!$B$6:$AC$104))),0,(_xlfn.XLOOKUP(I$5,'QB_Funds Analysis raw'!$B$5:$AC$5, _xlfn.XLOOKUP($A51,'QB_Funds Analysis raw'!$A$6:$A$104,'QB_Funds Analysis raw'!$B$6:$AC$104))))</f>
        <v>0</v>
      </c>
      <c r="J51" s="142" cm="1">
        <f t="array" ref="J51">IF(ISERROR(_xlfn.XLOOKUP(J$5,'QB_Funds Analysis raw'!$B$5:$AC$5, _xlfn.XLOOKUP($A51,'QB_Funds Analysis raw'!$A$6:$A$104,'QB_Funds Analysis raw'!$B$6:$AC$104))),0,(_xlfn.XLOOKUP(J$5,'QB_Funds Analysis raw'!$B$5:$AC$5, _xlfn.XLOOKUP($A51,'QB_Funds Analysis raw'!$A$6:$A$104,'QB_Funds Analysis raw'!$B$6:$AC$104))))</f>
        <v>0</v>
      </c>
      <c r="K51" s="252" cm="1">
        <f t="array" ref="K51">IF(ISERROR(_xlfn.XLOOKUP(K$5,'QB_Funds Analysis raw'!$B$5:$AC$5, _xlfn.XLOOKUP($A51,'QB_Funds Analysis raw'!$A$6:$A$104,'QB_Funds Analysis raw'!$B$6:$AC$104))),0,(_xlfn.XLOOKUP(K$5,'QB_Funds Analysis raw'!$B$5:$AC$5, _xlfn.XLOOKUP($A51,'QB_Funds Analysis raw'!$A$6:$A$104,'QB_Funds Analysis raw'!$B$6:$AC$104))))</f>
        <v>0</v>
      </c>
      <c r="L51" s="142" cm="1">
        <f t="array" ref="L51">IF(ISERROR(_xlfn.XLOOKUP(L$5,'QB_Funds Analysis raw'!$B$5:$AC$5, _xlfn.XLOOKUP($A51,'QB_Funds Analysis raw'!$A$6:$A$104,'QB_Funds Analysis raw'!$B$6:$AC$104))),0,(_xlfn.XLOOKUP(L$5,'QB_Funds Analysis raw'!$B$5:$AC$5, _xlfn.XLOOKUP($A51,'QB_Funds Analysis raw'!$A$6:$A$104,'QB_Funds Analysis raw'!$B$6:$AC$104))))</f>
        <v>0</v>
      </c>
      <c r="M51" s="142" cm="1">
        <f t="array" ref="M51">IF(ISERROR(_xlfn.XLOOKUP(M$5,'QB_Funds Analysis raw'!$B$5:$AC$5, _xlfn.XLOOKUP($A51,'QB_Funds Analysis raw'!$A$6:$A$104,'QB_Funds Analysis raw'!$B$6:$AC$104))),0,(_xlfn.XLOOKUP(M$5,'QB_Funds Analysis raw'!$B$5:$AC$5, _xlfn.XLOOKUP($A51,'QB_Funds Analysis raw'!$A$6:$A$104,'QB_Funds Analysis raw'!$B$6:$AC$104))))</f>
        <v>0</v>
      </c>
      <c r="N51" s="252" cm="1">
        <f t="array" ref="N51">IF(ISERROR(_xlfn.XLOOKUP(N$5,'QB_Funds Analysis raw'!$B$5:$AC$5, _xlfn.XLOOKUP($A51,'QB_Funds Analysis raw'!$A$6:$A$104,'QB_Funds Analysis raw'!$B$6:$AC$104))),0,(_xlfn.XLOOKUP(N$5,'QB_Funds Analysis raw'!$B$5:$AC$5, _xlfn.XLOOKUP($A51,'QB_Funds Analysis raw'!$A$6:$A$104,'QB_Funds Analysis raw'!$B$6:$AC$104))))</f>
        <v>0</v>
      </c>
      <c r="O51" s="252" cm="1">
        <f t="array" ref="O51">IF(ISERROR(_xlfn.XLOOKUP(O$5,'QB_Funds Analysis raw'!$B$5:$AC$5, _xlfn.XLOOKUP($A51,'QB_Funds Analysis raw'!$A$6:$A$104,'QB_Funds Analysis raw'!$B$6:$AC$104))),0,(_xlfn.XLOOKUP(O$5,'QB_Funds Analysis raw'!$B$5:$AC$5, _xlfn.XLOOKUP($A51,'QB_Funds Analysis raw'!$A$6:$A$104,'QB_Funds Analysis raw'!$B$6:$AC$104))))</f>
        <v>0</v>
      </c>
      <c r="P51" s="142" cm="1">
        <f t="array" ref="P51">IF(ISERROR(_xlfn.XLOOKUP(P$5,'QB_Funds Analysis raw'!$B$5:$AC$5, _xlfn.XLOOKUP($A51,'QB_Funds Analysis raw'!$A$6:$A$104,'QB_Funds Analysis raw'!$B$6:$AC$104))),0,(_xlfn.XLOOKUP(P$5,'QB_Funds Analysis raw'!$B$5:$AC$5, _xlfn.XLOOKUP($A51,'QB_Funds Analysis raw'!$A$6:$A$104,'QB_Funds Analysis raw'!$B$6:$AC$104))))</f>
        <v>0</v>
      </c>
      <c r="Q51" s="247" cm="1">
        <f t="array" ref="Q51">IF(ISERROR(_xlfn.XLOOKUP(Q$5,'QB_Funds Analysis raw'!$B$5:$AC$5, _xlfn.XLOOKUP($A51,'QB_Funds Analysis raw'!$A$6:$A$104,'QB_Funds Analysis raw'!$B$6:$AC$104))),0,(_xlfn.XLOOKUP(Q$5,'QB_Funds Analysis raw'!$B$5:$AC$5, _xlfn.XLOOKUP($A51,'QB_Funds Analysis raw'!$A$6:$A$104,'QB_Funds Analysis raw'!$B$6:$AC$104))))</f>
        <v>0</v>
      </c>
      <c r="R51" s="142" cm="1">
        <f t="array" ref="R51">IF(ISERROR(_xlfn.XLOOKUP(R$5,'QB_Funds Analysis raw'!$B$5:$AC$5, _xlfn.XLOOKUP($A51,'QB_Funds Analysis raw'!$A$6:$A$104,'QB_Funds Analysis raw'!$B$6:$AC$104))),0,(_xlfn.XLOOKUP(R$5,'QB_Funds Analysis raw'!$B$5:$AC$5, _xlfn.XLOOKUP($A51,'QB_Funds Analysis raw'!$A$6:$A$104,'QB_Funds Analysis raw'!$B$6:$AC$104))))</f>
        <v>0</v>
      </c>
      <c r="S51" s="142" cm="1">
        <f t="array" ref="S51">IF(ISERROR(_xlfn.XLOOKUP(S$5,'QB_Funds Analysis raw'!$B$5:$AC$5, _xlfn.XLOOKUP($A51,'QB_Funds Analysis raw'!$A$6:$A$104,'QB_Funds Analysis raw'!$B$6:$AC$104))),0,(_xlfn.XLOOKUP(S$5,'QB_Funds Analysis raw'!$B$5:$AC$5, _xlfn.XLOOKUP($A51,'QB_Funds Analysis raw'!$A$6:$A$104,'QB_Funds Analysis raw'!$B$6:$AC$104))))</f>
        <v>0</v>
      </c>
      <c r="T51" s="142" cm="1">
        <f t="array" ref="T51">IF(ISERROR(_xlfn.XLOOKUP(T$5,'QB_Funds Analysis raw'!$B$5:$AC$5, _xlfn.XLOOKUP($A51,'QB_Funds Analysis raw'!$A$6:$A$104,'QB_Funds Analysis raw'!$B$6:$AC$104))),0,(_xlfn.XLOOKUP(T$5,'QB_Funds Analysis raw'!$B$5:$AC$5, _xlfn.XLOOKUP($A51,'QB_Funds Analysis raw'!$A$6:$A$104,'QB_Funds Analysis raw'!$B$6:$AC$104))))</f>
        <v>0</v>
      </c>
      <c r="U51" s="142" cm="1">
        <f t="array" ref="U51">IF(ISERROR(_xlfn.XLOOKUP(U$5,'QB_Funds Analysis raw'!$B$5:$AC$5, _xlfn.XLOOKUP($A51,'QB_Funds Analysis raw'!$A$6:$A$104,'QB_Funds Analysis raw'!$B$6:$AC$104))),0,(_xlfn.XLOOKUP(U$5,'QB_Funds Analysis raw'!$B$5:$AC$5, _xlfn.XLOOKUP($A51,'QB_Funds Analysis raw'!$A$6:$A$104,'QB_Funds Analysis raw'!$B$6:$AC$104))))</f>
        <v>0</v>
      </c>
      <c r="V51" s="142" cm="1">
        <f t="array" ref="V51">IF(ISERROR(_xlfn.XLOOKUP(V$5,'QB_Funds Analysis raw'!$B$5:$AC$5, _xlfn.XLOOKUP($A51,'QB_Funds Analysis raw'!$A$6:$A$104,'QB_Funds Analysis raw'!$B$6:$AC$104))),0,(_xlfn.XLOOKUP(V$5,'QB_Funds Analysis raw'!$B$5:$AC$5, _xlfn.XLOOKUP($A51,'QB_Funds Analysis raw'!$A$6:$A$104,'QB_Funds Analysis raw'!$B$6:$AC$104))))</f>
        <v>0</v>
      </c>
      <c r="W51" s="142" cm="1">
        <f t="array" ref="W51">IF(ISERROR(_xlfn.XLOOKUP(W$5,'QB_Funds Analysis raw'!$B$5:$AC$5, _xlfn.XLOOKUP($A51,'QB_Funds Analysis raw'!$A$6:$A$104,'QB_Funds Analysis raw'!$B$6:$AC$104))),0,(_xlfn.XLOOKUP(W$5,'QB_Funds Analysis raw'!$B$5:$AC$5, _xlfn.XLOOKUP($A51,'QB_Funds Analysis raw'!$A$6:$A$104,'QB_Funds Analysis raw'!$B$6:$AC$104))))</f>
        <v>0</v>
      </c>
      <c r="X51" s="142" cm="1">
        <f t="array" ref="X51">IF(ISERROR(_xlfn.XLOOKUP(X$5,'QB_Funds Analysis raw'!$B$5:$AC$5, _xlfn.XLOOKUP($A51,'QB_Funds Analysis raw'!$A$6:$A$104,'QB_Funds Analysis raw'!$B$6:$AC$104))),0,(_xlfn.XLOOKUP(X$5,'QB_Funds Analysis raw'!$B$5:$AC$5, _xlfn.XLOOKUP($A51,'QB_Funds Analysis raw'!$A$6:$A$104,'QB_Funds Analysis raw'!$B$6:$AC$104))))</f>
        <v>0</v>
      </c>
      <c r="Y51" s="142" cm="1">
        <f t="array" ref="Y51">IF(ISERROR(_xlfn.XLOOKUP(Y$5,'QB_Funds Analysis raw'!$B$5:$AC$5, _xlfn.XLOOKUP($A51,'QB_Funds Analysis raw'!$A$6:$A$104,'QB_Funds Analysis raw'!$B$6:$AC$104))),0,(_xlfn.XLOOKUP(Y$5,'QB_Funds Analysis raw'!$B$5:$AC$5, _xlfn.XLOOKUP($A51,'QB_Funds Analysis raw'!$A$6:$A$104,'QB_Funds Analysis raw'!$B$6:$AC$104))))</f>
        <v>0</v>
      </c>
      <c r="Z51" s="142" cm="1">
        <f t="array" ref="Z51">IF(ISERROR(_xlfn.XLOOKUP(Z$5,'QB_Funds Analysis raw'!$B$5:$AC$5, _xlfn.XLOOKUP($A51,'QB_Funds Analysis raw'!$A$6:$A$104,'QB_Funds Analysis raw'!$B$6:$AC$104))),0,(_xlfn.XLOOKUP(Z$5,'QB_Funds Analysis raw'!$B$5:$AC$5, _xlfn.XLOOKUP($A51,'QB_Funds Analysis raw'!$A$6:$A$104,'QB_Funds Analysis raw'!$B$6:$AC$104))))</f>
        <v>0</v>
      </c>
      <c r="AA51" s="142" cm="1">
        <f t="array" ref="AA51">IF(ISERROR(_xlfn.XLOOKUP(AA$5,'QB_Funds Analysis raw'!$B$5:$AC$5, _xlfn.XLOOKUP($A51,'QB_Funds Analysis raw'!$A$6:$A$104,'QB_Funds Analysis raw'!$B$6:$AC$104))),0,(_xlfn.XLOOKUP(AA$5,'QB_Funds Analysis raw'!$B$5:$AC$5, _xlfn.XLOOKUP($A51,'QB_Funds Analysis raw'!$A$6:$A$104,'QB_Funds Analysis raw'!$B$6:$AC$104))))</f>
        <v>0</v>
      </c>
      <c r="AB51" s="142" cm="1">
        <f t="array" ref="AB51">IF(ISERROR(_xlfn.XLOOKUP(AB$5,'QB_Funds Analysis raw'!$B$5:$AC$5, _xlfn.XLOOKUP($A51,'QB_Funds Analysis raw'!$A$6:$A$104,'QB_Funds Analysis raw'!$B$6:$AC$104))),0,(_xlfn.XLOOKUP(AB$5,'QB_Funds Analysis raw'!$B$5:$AC$5, _xlfn.XLOOKUP($A51,'QB_Funds Analysis raw'!$A$6:$A$104,'QB_Funds Analysis raw'!$B$6:$AC$104))))</f>
        <v>0</v>
      </c>
      <c r="AC51" s="142" cm="1">
        <f t="array" ref="AC51">IF(ISERROR(_xlfn.XLOOKUP(AC$5,'QB_Funds Analysis raw'!$B$5:$AC$5, _xlfn.XLOOKUP($A51,'QB_Funds Analysis raw'!$A$6:$A$104,'QB_Funds Analysis raw'!$B$6:$AC$104))),0,(_xlfn.XLOOKUP(AC$5,'QB_Funds Analysis raw'!$B$5:$AC$5, _xlfn.XLOOKUP($A51,'QB_Funds Analysis raw'!$A$6:$A$104,'QB_Funds Analysis raw'!$B$6:$AC$104))))</f>
        <v>0</v>
      </c>
      <c r="AD51" s="167">
        <f t="shared" si="13"/>
        <v>0</v>
      </c>
      <c r="AE51" s="167">
        <f t="shared" si="4"/>
        <v>0</v>
      </c>
    </row>
    <row r="52" spans="1:31" ht="20.25" customHeight="1" x14ac:dyDescent="0.25">
      <c r="A52" s="2" t="s">
        <v>55</v>
      </c>
      <c r="B52" s="142" cm="1">
        <f t="array" ref="B52">IF(ISERROR(_xlfn.XLOOKUP(B$5,'QB_Funds Analysis raw'!$B$5:$AC$5, _xlfn.XLOOKUP($A52,'QB_Funds Analysis raw'!$A$6:$A$104,'QB_Funds Analysis raw'!$B$6:$AC$104))),0,(_xlfn.XLOOKUP(B$5,'QB_Funds Analysis raw'!$B$5:$AC$5, _xlfn.XLOOKUP($A52,'QB_Funds Analysis raw'!$A$6:$A$104,'QB_Funds Analysis raw'!$B$6:$AC$104))))</f>
        <v>0</v>
      </c>
      <c r="C52" s="142" cm="1">
        <f t="array" ref="C52">IF(ISERROR(_xlfn.XLOOKUP(C$5,'QB_Funds Analysis raw'!$B$5:$AC$5, _xlfn.XLOOKUP($A52,'QB_Funds Analysis raw'!$A$6:$A$104,'QB_Funds Analysis raw'!$B$6:$AC$104))),0,(_xlfn.XLOOKUP(C$5,'QB_Funds Analysis raw'!$B$5:$AC$5, _xlfn.XLOOKUP($A52,'QB_Funds Analysis raw'!$A$6:$A$104,'QB_Funds Analysis raw'!$B$6:$AC$104))))</f>
        <v>0</v>
      </c>
      <c r="D52" s="252" cm="1">
        <f t="array" ref="D52">IF(ISERROR(_xlfn.XLOOKUP(D$5,'QB_Funds Analysis raw'!$B$5:$AC$5, _xlfn.XLOOKUP($A52,'QB_Funds Analysis raw'!$A$6:$A$104,'QB_Funds Analysis raw'!$B$6:$AC$104))),0,(_xlfn.XLOOKUP(D$5,'QB_Funds Analysis raw'!$B$5:$AC$5, _xlfn.XLOOKUP($A52,'QB_Funds Analysis raw'!$A$6:$A$104,'QB_Funds Analysis raw'!$B$6:$AC$104))))</f>
        <v>0</v>
      </c>
      <c r="E52" s="142" cm="1">
        <f t="array" ref="E52">IF(ISERROR(_xlfn.XLOOKUP(E$5,'QB_Funds Analysis raw'!$B$5:$AC$5, _xlfn.XLOOKUP($A52,'QB_Funds Analysis raw'!$A$6:$A$104,'QB_Funds Analysis raw'!$B$6:$AC$104))),0,(_xlfn.XLOOKUP(E$5,'QB_Funds Analysis raw'!$B$5:$AC$5, _xlfn.XLOOKUP($A52,'QB_Funds Analysis raw'!$A$6:$A$104,'QB_Funds Analysis raw'!$B$6:$AC$104))))</f>
        <v>0</v>
      </c>
      <c r="F52" s="142" cm="1">
        <f t="array" ref="F52">IF(ISERROR(_xlfn.XLOOKUP(F$5,'QB_Funds Analysis raw'!$B$5:$AC$5, _xlfn.XLOOKUP($A52,'QB_Funds Analysis raw'!$A$6:$A$104,'QB_Funds Analysis raw'!$B$6:$AC$104))),0,(_xlfn.XLOOKUP(F$5,'QB_Funds Analysis raw'!$B$5:$AC$5, _xlfn.XLOOKUP($A52,'QB_Funds Analysis raw'!$A$6:$A$104,'QB_Funds Analysis raw'!$B$6:$AC$104))))</f>
        <v>0</v>
      </c>
      <c r="G52" s="142" cm="1">
        <f t="array" ref="G52">IF(ISERROR(_xlfn.XLOOKUP(G$5,'QB_Funds Analysis raw'!$B$5:$AC$5, _xlfn.XLOOKUP($A52,'QB_Funds Analysis raw'!$A$6:$A$104,'QB_Funds Analysis raw'!$B$6:$AC$104))),0,(_xlfn.XLOOKUP(G$5,'QB_Funds Analysis raw'!$B$5:$AC$5, _xlfn.XLOOKUP($A52,'QB_Funds Analysis raw'!$A$6:$A$104,'QB_Funds Analysis raw'!$B$6:$AC$104))))</f>
        <v>0</v>
      </c>
      <c r="H52" s="142" cm="1">
        <f t="array" ref="H52">IF(ISERROR(_xlfn.XLOOKUP(H$5,'QB_Funds Analysis raw'!$B$5:$AC$5, _xlfn.XLOOKUP($A52,'QB_Funds Analysis raw'!$A$6:$A$104,'QB_Funds Analysis raw'!$B$6:$AC$104))),0,(_xlfn.XLOOKUP(H$5,'QB_Funds Analysis raw'!$B$5:$AC$5, _xlfn.XLOOKUP($A52,'QB_Funds Analysis raw'!$A$6:$A$104,'QB_Funds Analysis raw'!$B$6:$AC$104))))</f>
        <v>0</v>
      </c>
      <c r="I52" s="142" cm="1">
        <f t="array" ref="I52">IF(ISERROR(_xlfn.XLOOKUP(I$5,'QB_Funds Analysis raw'!$B$5:$AC$5, _xlfn.XLOOKUP($A52,'QB_Funds Analysis raw'!$A$6:$A$104,'QB_Funds Analysis raw'!$B$6:$AC$104))),0,(_xlfn.XLOOKUP(I$5,'QB_Funds Analysis raw'!$B$5:$AC$5, _xlfn.XLOOKUP($A52,'QB_Funds Analysis raw'!$A$6:$A$104,'QB_Funds Analysis raw'!$B$6:$AC$104))))</f>
        <v>0</v>
      </c>
      <c r="J52" s="142" cm="1">
        <f t="array" ref="J52">IF(ISERROR(_xlfn.XLOOKUP(J$5,'QB_Funds Analysis raw'!$B$5:$AC$5, _xlfn.XLOOKUP($A52,'QB_Funds Analysis raw'!$A$6:$A$104,'QB_Funds Analysis raw'!$B$6:$AC$104))),0,(_xlfn.XLOOKUP(J$5,'QB_Funds Analysis raw'!$B$5:$AC$5, _xlfn.XLOOKUP($A52,'QB_Funds Analysis raw'!$A$6:$A$104,'QB_Funds Analysis raw'!$B$6:$AC$104))))</f>
        <v>0</v>
      </c>
      <c r="K52" s="252" cm="1">
        <f t="array" ref="K52">IF(ISERROR(_xlfn.XLOOKUP(K$5,'QB_Funds Analysis raw'!$B$5:$AC$5, _xlfn.XLOOKUP($A52,'QB_Funds Analysis raw'!$A$6:$A$104,'QB_Funds Analysis raw'!$B$6:$AC$104))),0,(_xlfn.XLOOKUP(K$5,'QB_Funds Analysis raw'!$B$5:$AC$5, _xlfn.XLOOKUP($A52,'QB_Funds Analysis raw'!$A$6:$A$104,'QB_Funds Analysis raw'!$B$6:$AC$104))))</f>
        <v>0</v>
      </c>
      <c r="L52" s="142" cm="1">
        <f t="array" ref="L52">IF(ISERROR(_xlfn.XLOOKUP(L$5,'QB_Funds Analysis raw'!$B$5:$AC$5, _xlfn.XLOOKUP($A52,'QB_Funds Analysis raw'!$A$6:$A$104,'QB_Funds Analysis raw'!$B$6:$AC$104))),0,(_xlfn.XLOOKUP(L$5,'QB_Funds Analysis raw'!$B$5:$AC$5, _xlfn.XLOOKUP($A52,'QB_Funds Analysis raw'!$A$6:$A$104,'QB_Funds Analysis raw'!$B$6:$AC$104))))</f>
        <v>0</v>
      </c>
      <c r="M52" s="142" cm="1">
        <f t="array" ref="M52">IF(ISERROR(_xlfn.XLOOKUP(M$5,'QB_Funds Analysis raw'!$B$5:$AC$5, _xlfn.XLOOKUP($A52,'QB_Funds Analysis raw'!$A$6:$A$104,'QB_Funds Analysis raw'!$B$6:$AC$104))),0,(_xlfn.XLOOKUP(M$5,'QB_Funds Analysis raw'!$B$5:$AC$5, _xlfn.XLOOKUP($A52,'QB_Funds Analysis raw'!$A$6:$A$104,'QB_Funds Analysis raw'!$B$6:$AC$104))))</f>
        <v>0</v>
      </c>
      <c r="N52" s="252" cm="1">
        <f t="array" ref="N52">IF(ISERROR(_xlfn.XLOOKUP(N$5,'QB_Funds Analysis raw'!$B$5:$AC$5, _xlfn.XLOOKUP($A52,'QB_Funds Analysis raw'!$A$6:$A$104,'QB_Funds Analysis raw'!$B$6:$AC$104))),0,(_xlfn.XLOOKUP(N$5,'QB_Funds Analysis raw'!$B$5:$AC$5, _xlfn.XLOOKUP($A52,'QB_Funds Analysis raw'!$A$6:$A$104,'QB_Funds Analysis raw'!$B$6:$AC$104))))</f>
        <v>0</v>
      </c>
      <c r="O52" s="252" cm="1">
        <f t="array" ref="O52">IF(ISERROR(_xlfn.XLOOKUP(O$5,'QB_Funds Analysis raw'!$B$5:$AC$5, _xlfn.XLOOKUP($A52,'QB_Funds Analysis raw'!$A$6:$A$104,'QB_Funds Analysis raw'!$B$6:$AC$104))),0,(_xlfn.XLOOKUP(O$5,'QB_Funds Analysis raw'!$B$5:$AC$5, _xlfn.XLOOKUP($A52,'QB_Funds Analysis raw'!$A$6:$A$104,'QB_Funds Analysis raw'!$B$6:$AC$104))))</f>
        <v>0</v>
      </c>
      <c r="P52" s="142" cm="1">
        <f t="array" ref="P52">IF(ISERROR(_xlfn.XLOOKUP(P$5,'QB_Funds Analysis raw'!$B$5:$AC$5, _xlfn.XLOOKUP($A52,'QB_Funds Analysis raw'!$A$6:$A$104,'QB_Funds Analysis raw'!$B$6:$AC$104))),0,(_xlfn.XLOOKUP(P$5,'QB_Funds Analysis raw'!$B$5:$AC$5, _xlfn.XLOOKUP($A52,'QB_Funds Analysis raw'!$A$6:$A$104,'QB_Funds Analysis raw'!$B$6:$AC$104))))</f>
        <v>0</v>
      </c>
      <c r="Q52" s="247" cm="1">
        <f t="array" ref="Q52">IF(ISERROR(_xlfn.XLOOKUP(Q$5,'QB_Funds Analysis raw'!$B$5:$AC$5, _xlfn.XLOOKUP($A52,'QB_Funds Analysis raw'!$A$6:$A$104,'QB_Funds Analysis raw'!$B$6:$AC$104))),0,(_xlfn.XLOOKUP(Q$5,'QB_Funds Analysis raw'!$B$5:$AC$5, _xlfn.XLOOKUP($A52,'QB_Funds Analysis raw'!$A$6:$A$104,'QB_Funds Analysis raw'!$B$6:$AC$104))))</f>
        <v>0</v>
      </c>
      <c r="R52" s="142" cm="1">
        <f t="array" ref="R52">IF(ISERROR(_xlfn.XLOOKUP(R$5,'QB_Funds Analysis raw'!$B$5:$AC$5, _xlfn.XLOOKUP($A52,'QB_Funds Analysis raw'!$A$6:$A$104,'QB_Funds Analysis raw'!$B$6:$AC$104))),0,(_xlfn.XLOOKUP(R$5,'QB_Funds Analysis raw'!$B$5:$AC$5, _xlfn.XLOOKUP($A52,'QB_Funds Analysis raw'!$A$6:$A$104,'QB_Funds Analysis raw'!$B$6:$AC$104))))</f>
        <v>0</v>
      </c>
      <c r="S52" s="142" cm="1">
        <f t="array" ref="S52">IF(ISERROR(_xlfn.XLOOKUP(S$5,'QB_Funds Analysis raw'!$B$5:$AC$5, _xlfn.XLOOKUP($A52,'QB_Funds Analysis raw'!$A$6:$A$104,'QB_Funds Analysis raw'!$B$6:$AC$104))),0,(_xlfn.XLOOKUP(S$5,'QB_Funds Analysis raw'!$B$5:$AC$5, _xlfn.XLOOKUP($A52,'QB_Funds Analysis raw'!$A$6:$A$104,'QB_Funds Analysis raw'!$B$6:$AC$104))))</f>
        <v>0</v>
      </c>
      <c r="T52" s="142" cm="1">
        <f t="array" ref="T52">IF(ISERROR(_xlfn.XLOOKUP(T$5,'QB_Funds Analysis raw'!$B$5:$AC$5, _xlfn.XLOOKUP($A52,'QB_Funds Analysis raw'!$A$6:$A$104,'QB_Funds Analysis raw'!$B$6:$AC$104))),0,(_xlfn.XLOOKUP(T$5,'QB_Funds Analysis raw'!$B$5:$AC$5, _xlfn.XLOOKUP($A52,'QB_Funds Analysis raw'!$A$6:$A$104,'QB_Funds Analysis raw'!$B$6:$AC$104))))</f>
        <v>0</v>
      </c>
      <c r="U52" s="142" cm="1">
        <f t="array" ref="U52">IF(ISERROR(_xlfn.XLOOKUP(U$5,'QB_Funds Analysis raw'!$B$5:$AC$5, _xlfn.XLOOKUP($A52,'QB_Funds Analysis raw'!$A$6:$A$104,'QB_Funds Analysis raw'!$B$6:$AC$104))),0,(_xlfn.XLOOKUP(U$5,'QB_Funds Analysis raw'!$B$5:$AC$5, _xlfn.XLOOKUP($A52,'QB_Funds Analysis raw'!$A$6:$A$104,'QB_Funds Analysis raw'!$B$6:$AC$104))))</f>
        <v>0</v>
      </c>
      <c r="V52" s="142" cm="1">
        <f t="array" ref="V52">IF(ISERROR(_xlfn.XLOOKUP(V$5,'QB_Funds Analysis raw'!$B$5:$AC$5, _xlfn.XLOOKUP($A52,'QB_Funds Analysis raw'!$A$6:$A$104,'QB_Funds Analysis raw'!$B$6:$AC$104))),0,(_xlfn.XLOOKUP(V$5,'QB_Funds Analysis raw'!$B$5:$AC$5, _xlfn.XLOOKUP($A52,'QB_Funds Analysis raw'!$A$6:$A$104,'QB_Funds Analysis raw'!$B$6:$AC$104))))</f>
        <v>0</v>
      </c>
      <c r="W52" s="142" cm="1">
        <f t="array" ref="W52">IF(ISERROR(_xlfn.XLOOKUP(W$5,'QB_Funds Analysis raw'!$B$5:$AC$5, _xlfn.XLOOKUP($A52,'QB_Funds Analysis raw'!$A$6:$A$104,'QB_Funds Analysis raw'!$B$6:$AC$104))),0,(_xlfn.XLOOKUP(W$5,'QB_Funds Analysis raw'!$B$5:$AC$5, _xlfn.XLOOKUP($A52,'QB_Funds Analysis raw'!$A$6:$A$104,'QB_Funds Analysis raw'!$B$6:$AC$104))))</f>
        <v>0</v>
      </c>
      <c r="X52" s="142" cm="1">
        <f t="array" ref="X52">IF(ISERROR(_xlfn.XLOOKUP(X$5,'QB_Funds Analysis raw'!$B$5:$AC$5, _xlfn.XLOOKUP($A52,'QB_Funds Analysis raw'!$A$6:$A$104,'QB_Funds Analysis raw'!$B$6:$AC$104))),0,(_xlfn.XLOOKUP(X$5,'QB_Funds Analysis raw'!$B$5:$AC$5, _xlfn.XLOOKUP($A52,'QB_Funds Analysis raw'!$A$6:$A$104,'QB_Funds Analysis raw'!$B$6:$AC$104))))</f>
        <v>0</v>
      </c>
      <c r="Y52" s="142" cm="1">
        <f t="array" ref="Y52">IF(ISERROR(_xlfn.XLOOKUP(Y$5,'QB_Funds Analysis raw'!$B$5:$AC$5, _xlfn.XLOOKUP($A52,'QB_Funds Analysis raw'!$A$6:$A$104,'QB_Funds Analysis raw'!$B$6:$AC$104))),0,(_xlfn.XLOOKUP(Y$5,'QB_Funds Analysis raw'!$B$5:$AC$5, _xlfn.XLOOKUP($A52,'QB_Funds Analysis raw'!$A$6:$A$104,'QB_Funds Analysis raw'!$B$6:$AC$104))))</f>
        <v>0</v>
      </c>
      <c r="Z52" s="142" cm="1">
        <f t="array" ref="Z52">IF(ISERROR(_xlfn.XLOOKUP(Z$5,'QB_Funds Analysis raw'!$B$5:$AC$5, _xlfn.XLOOKUP($A52,'QB_Funds Analysis raw'!$A$6:$A$104,'QB_Funds Analysis raw'!$B$6:$AC$104))),0,(_xlfn.XLOOKUP(Z$5,'QB_Funds Analysis raw'!$B$5:$AC$5, _xlfn.XLOOKUP($A52,'QB_Funds Analysis raw'!$A$6:$A$104,'QB_Funds Analysis raw'!$B$6:$AC$104))))</f>
        <v>0</v>
      </c>
      <c r="AA52" s="142" cm="1">
        <f t="array" ref="AA52">IF(ISERROR(_xlfn.XLOOKUP(AA$5,'QB_Funds Analysis raw'!$B$5:$AC$5, _xlfn.XLOOKUP($A52,'QB_Funds Analysis raw'!$A$6:$A$104,'QB_Funds Analysis raw'!$B$6:$AC$104))),0,(_xlfn.XLOOKUP(AA$5,'QB_Funds Analysis raw'!$B$5:$AC$5, _xlfn.XLOOKUP($A52,'QB_Funds Analysis raw'!$A$6:$A$104,'QB_Funds Analysis raw'!$B$6:$AC$104))))</f>
        <v>0</v>
      </c>
      <c r="AB52" s="142" cm="1">
        <f t="array" ref="AB52">IF(ISERROR(_xlfn.XLOOKUP(AB$5,'QB_Funds Analysis raw'!$B$5:$AC$5, _xlfn.XLOOKUP($A52,'QB_Funds Analysis raw'!$A$6:$A$104,'QB_Funds Analysis raw'!$B$6:$AC$104))),0,(_xlfn.XLOOKUP(AB$5,'QB_Funds Analysis raw'!$B$5:$AC$5, _xlfn.XLOOKUP($A52,'QB_Funds Analysis raw'!$A$6:$A$104,'QB_Funds Analysis raw'!$B$6:$AC$104))))</f>
        <v>-4292.26</v>
      </c>
      <c r="AC52" s="142" cm="1">
        <f t="array" ref="AC52">IF(ISERROR(_xlfn.XLOOKUP(AC$5,'QB_Funds Analysis raw'!$B$5:$AC$5, _xlfn.XLOOKUP($A52,'QB_Funds Analysis raw'!$A$6:$A$104,'QB_Funds Analysis raw'!$B$6:$AC$104))),0,(_xlfn.XLOOKUP(AC$5,'QB_Funds Analysis raw'!$B$5:$AC$5, _xlfn.XLOOKUP($A52,'QB_Funds Analysis raw'!$A$6:$A$104,'QB_Funds Analysis raw'!$B$6:$AC$104))))</f>
        <v>-4292.26</v>
      </c>
      <c r="AD52" s="167">
        <f t="shared" si="13"/>
        <v>-4292.26</v>
      </c>
      <c r="AE52" s="167">
        <f t="shared" si="4"/>
        <v>0</v>
      </c>
    </row>
    <row r="53" spans="1:31" ht="20.25" customHeight="1" x14ac:dyDescent="0.25">
      <c r="A53" s="2" t="s">
        <v>56</v>
      </c>
      <c r="B53" s="142" cm="1">
        <f t="array" ref="B53">IF(ISERROR(_xlfn.XLOOKUP(B$5,'QB_Funds Analysis raw'!$B$5:$AC$5, _xlfn.XLOOKUP($A53,'QB_Funds Analysis raw'!$A$6:$A$104,'QB_Funds Analysis raw'!$B$6:$AC$104))),0,(_xlfn.XLOOKUP(B$5,'QB_Funds Analysis raw'!$B$5:$AC$5, _xlfn.XLOOKUP($A53,'QB_Funds Analysis raw'!$A$6:$A$104,'QB_Funds Analysis raw'!$B$6:$AC$104))))</f>
        <v>0</v>
      </c>
      <c r="C53" s="142" cm="1">
        <f t="array" ref="C53">IF(ISERROR(_xlfn.XLOOKUP(C$5,'QB_Funds Analysis raw'!$B$5:$AC$5, _xlfn.XLOOKUP($A53,'QB_Funds Analysis raw'!$A$6:$A$104,'QB_Funds Analysis raw'!$B$6:$AC$104))),0,(_xlfn.XLOOKUP(C$5,'QB_Funds Analysis raw'!$B$5:$AC$5, _xlfn.XLOOKUP($A53,'QB_Funds Analysis raw'!$A$6:$A$104,'QB_Funds Analysis raw'!$B$6:$AC$104))))</f>
        <v>0</v>
      </c>
      <c r="D53" s="252" cm="1">
        <f t="array" ref="D53">IF(ISERROR(_xlfn.XLOOKUP(D$5,'QB_Funds Analysis raw'!$B$5:$AC$5, _xlfn.XLOOKUP($A53,'QB_Funds Analysis raw'!$A$6:$A$104,'QB_Funds Analysis raw'!$B$6:$AC$104))),0,(_xlfn.XLOOKUP(D$5,'QB_Funds Analysis raw'!$B$5:$AC$5, _xlfn.XLOOKUP($A53,'QB_Funds Analysis raw'!$A$6:$A$104,'QB_Funds Analysis raw'!$B$6:$AC$104))))</f>
        <v>0</v>
      </c>
      <c r="E53" s="142" cm="1">
        <f t="array" ref="E53">IF(ISERROR(_xlfn.XLOOKUP(E$5,'QB_Funds Analysis raw'!$B$5:$AC$5, _xlfn.XLOOKUP($A53,'QB_Funds Analysis raw'!$A$6:$A$104,'QB_Funds Analysis raw'!$B$6:$AC$104))),0,(_xlfn.XLOOKUP(E$5,'QB_Funds Analysis raw'!$B$5:$AC$5, _xlfn.XLOOKUP($A53,'QB_Funds Analysis raw'!$A$6:$A$104,'QB_Funds Analysis raw'!$B$6:$AC$104))))</f>
        <v>0</v>
      </c>
      <c r="F53" s="142" cm="1">
        <f t="array" ref="F53">IF(ISERROR(_xlfn.XLOOKUP(F$5,'QB_Funds Analysis raw'!$B$5:$AC$5, _xlfn.XLOOKUP($A53,'QB_Funds Analysis raw'!$A$6:$A$104,'QB_Funds Analysis raw'!$B$6:$AC$104))),0,(_xlfn.XLOOKUP(F$5,'QB_Funds Analysis raw'!$B$5:$AC$5, _xlfn.XLOOKUP($A53,'QB_Funds Analysis raw'!$A$6:$A$104,'QB_Funds Analysis raw'!$B$6:$AC$104))))</f>
        <v>0</v>
      </c>
      <c r="G53" s="142" cm="1">
        <f t="array" ref="G53">IF(ISERROR(_xlfn.XLOOKUP(G$5,'QB_Funds Analysis raw'!$B$5:$AC$5, _xlfn.XLOOKUP($A53,'QB_Funds Analysis raw'!$A$6:$A$104,'QB_Funds Analysis raw'!$B$6:$AC$104))),0,(_xlfn.XLOOKUP(G$5,'QB_Funds Analysis raw'!$B$5:$AC$5, _xlfn.XLOOKUP($A53,'QB_Funds Analysis raw'!$A$6:$A$104,'QB_Funds Analysis raw'!$B$6:$AC$104))))</f>
        <v>0</v>
      </c>
      <c r="H53" s="142" cm="1">
        <f t="array" ref="H53">IF(ISERROR(_xlfn.XLOOKUP(H$5,'QB_Funds Analysis raw'!$B$5:$AC$5, _xlfn.XLOOKUP($A53,'QB_Funds Analysis raw'!$A$6:$A$104,'QB_Funds Analysis raw'!$B$6:$AC$104))),0,(_xlfn.XLOOKUP(H$5,'QB_Funds Analysis raw'!$B$5:$AC$5, _xlfn.XLOOKUP($A53,'QB_Funds Analysis raw'!$A$6:$A$104,'QB_Funds Analysis raw'!$B$6:$AC$104))))</f>
        <v>0</v>
      </c>
      <c r="I53" s="142" cm="1">
        <f t="array" ref="I53">IF(ISERROR(_xlfn.XLOOKUP(I$5,'QB_Funds Analysis raw'!$B$5:$AC$5, _xlfn.XLOOKUP($A53,'QB_Funds Analysis raw'!$A$6:$A$104,'QB_Funds Analysis raw'!$B$6:$AC$104))),0,(_xlfn.XLOOKUP(I$5,'QB_Funds Analysis raw'!$B$5:$AC$5, _xlfn.XLOOKUP($A53,'QB_Funds Analysis raw'!$A$6:$A$104,'QB_Funds Analysis raw'!$B$6:$AC$104))))</f>
        <v>0</v>
      </c>
      <c r="J53" s="142" cm="1">
        <f t="array" ref="J53">IF(ISERROR(_xlfn.XLOOKUP(J$5,'QB_Funds Analysis raw'!$B$5:$AC$5, _xlfn.XLOOKUP($A53,'QB_Funds Analysis raw'!$A$6:$A$104,'QB_Funds Analysis raw'!$B$6:$AC$104))),0,(_xlfn.XLOOKUP(J$5,'QB_Funds Analysis raw'!$B$5:$AC$5, _xlfn.XLOOKUP($A53,'QB_Funds Analysis raw'!$A$6:$A$104,'QB_Funds Analysis raw'!$B$6:$AC$104))))</f>
        <v>0</v>
      </c>
      <c r="K53" s="252" cm="1">
        <f t="array" ref="K53">IF(ISERROR(_xlfn.XLOOKUP(K$5,'QB_Funds Analysis raw'!$B$5:$AC$5, _xlfn.XLOOKUP($A53,'QB_Funds Analysis raw'!$A$6:$A$104,'QB_Funds Analysis raw'!$B$6:$AC$104))),0,(_xlfn.XLOOKUP(K$5,'QB_Funds Analysis raw'!$B$5:$AC$5, _xlfn.XLOOKUP($A53,'QB_Funds Analysis raw'!$A$6:$A$104,'QB_Funds Analysis raw'!$B$6:$AC$104))))</f>
        <v>0</v>
      </c>
      <c r="L53" s="142" cm="1">
        <f t="array" ref="L53">IF(ISERROR(_xlfn.XLOOKUP(L$5,'QB_Funds Analysis raw'!$B$5:$AC$5, _xlfn.XLOOKUP($A53,'QB_Funds Analysis raw'!$A$6:$A$104,'QB_Funds Analysis raw'!$B$6:$AC$104))),0,(_xlfn.XLOOKUP(L$5,'QB_Funds Analysis raw'!$B$5:$AC$5, _xlfn.XLOOKUP($A53,'QB_Funds Analysis raw'!$A$6:$A$104,'QB_Funds Analysis raw'!$B$6:$AC$104))))</f>
        <v>0</v>
      </c>
      <c r="M53" s="142" cm="1">
        <f t="array" ref="M53">IF(ISERROR(_xlfn.XLOOKUP(M$5,'QB_Funds Analysis raw'!$B$5:$AC$5, _xlfn.XLOOKUP($A53,'QB_Funds Analysis raw'!$A$6:$A$104,'QB_Funds Analysis raw'!$B$6:$AC$104))),0,(_xlfn.XLOOKUP(M$5,'QB_Funds Analysis raw'!$B$5:$AC$5, _xlfn.XLOOKUP($A53,'QB_Funds Analysis raw'!$A$6:$A$104,'QB_Funds Analysis raw'!$B$6:$AC$104))))</f>
        <v>0</v>
      </c>
      <c r="N53" s="252" cm="1">
        <f t="array" ref="N53">IF(ISERROR(_xlfn.XLOOKUP(N$5,'QB_Funds Analysis raw'!$B$5:$AC$5, _xlfn.XLOOKUP($A53,'QB_Funds Analysis raw'!$A$6:$A$104,'QB_Funds Analysis raw'!$B$6:$AC$104))),0,(_xlfn.XLOOKUP(N$5,'QB_Funds Analysis raw'!$B$5:$AC$5, _xlfn.XLOOKUP($A53,'QB_Funds Analysis raw'!$A$6:$A$104,'QB_Funds Analysis raw'!$B$6:$AC$104))))</f>
        <v>0</v>
      </c>
      <c r="O53" s="252" cm="1">
        <f t="array" ref="O53">IF(ISERROR(_xlfn.XLOOKUP(O$5,'QB_Funds Analysis raw'!$B$5:$AC$5, _xlfn.XLOOKUP($A53,'QB_Funds Analysis raw'!$A$6:$A$104,'QB_Funds Analysis raw'!$B$6:$AC$104))),0,(_xlfn.XLOOKUP(O$5,'QB_Funds Analysis raw'!$B$5:$AC$5, _xlfn.XLOOKUP($A53,'QB_Funds Analysis raw'!$A$6:$A$104,'QB_Funds Analysis raw'!$B$6:$AC$104))))</f>
        <v>0</v>
      </c>
      <c r="P53" s="142" cm="1">
        <f t="array" ref="P53">IF(ISERROR(_xlfn.XLOOKUP(P$5,'QB_Funds Analysis raw'!$B$5:$AC$5, _xlfn.XLOOKUP($A53,'QB_Funds Analysis raw'!$A$6:$A$104,'QB_Funds Analysis raw'!$B$6:$AC$104))),0,(_xlfn.XLOOKUP(P$5,'QB_Funds Analysis raw'!$B$5:$AC$5, _xlfn.XLOOKUP($A53,'QB_Funds Analysis raw'!$A$6:$A$104,'QB_Funds Analysis raw'!$B$6:$AC$104))))</f>
        <v>0</v>
      </c>
      <c r="Q53" s="247" cm="1">
        <f t="array" ref="Q53">IF(ISERROR(_xlfn.XLOOKUP(Q$5,'QB_Funds Analysis raw'!$B$5:$AC$5, _xlfn.XLOOKUP($A53,'QB_Funds Analysis raw'!$A$6:$A$104,'QB_Funds Analysis raw'!$B$6:$AC$104))),0,(_xlfn.XLOOKUP(Q$5,'QB_Funds Analysis raw'!$B$5:$AC$5, _xlfn.XLOOKUP($A53,'QB_Funds Analysis raw'!$A$6:$A$104,'QB_Funds Analysis raw'!$B$6:$AC$104))))</f>
        <v>0</v>
      </c>
      <c r="R53" s="142" cm="1">
        <f t="array" ref="R53">IF(ISERROR(_xlfn.XLOOKUP(R$5,'QB_Funds Analysis raw'!$B$5:$AC$5, _xlfn.XLOOKUP($A53,'QB_Funds Analysis raw'!$A$6:$A$104,'QB_Funds Analysis raw'!$B$6:$AC$104))),0,(_xlfn.XLOOKUP(R$5,'QB_Funds Analysis raw'!$B$5:$AC$5, _xlfn.XLOOKUP($A53,'QB_Funds Analysis raw'!$A$6:$A$104,'QB_Funds Analysis raw'!$B$6:$AC$104))))</f>
        <v>0</v>
      </c>
      <c r="S53" s="142" cm="1">
        <f t="array" ref="S53">IF(ISERROR(_xlfn.XLOOKUP(S$5,'QB_Funds Analysis raw'!$B$5:$AC$5, _xlfn.XLOOKUP($A53,'QB_Funds Analysis raw'!$A$6:$A$104,'QB_Funds Analysis raw'!$B$6:$AC$104))),0,(_xlfn.XLOOKUP(S$5,'QB_Funds Analysis raw'!$B$5:$AC$5, _xlfn.XLOOKUP($A53,'QB_Funds Analysis raw'!$A$6:$A$104,'QB_Funds Analysis raw'!$B$6:$AC$104))))</f>
        <v>0</v>
      </c>
      <c r="T53" s="142" cm="1">
        <f t="array" ref="T53">IF(ISERROR(_xlfn.XLOOKUP(T$5,'QB_Funds Analysis raw'!$B$5:$AC$5, _xlfn.XLOOKUP($A53,'QB_Funds Analysis raw'!$A$6:$A$104,'QB_Funds Analysis raw'!$B$6:$AC$104))),0,(_xlfn.XLOOKUP(T$5,'QB_Funds Analysis raw'!$B$5:$AC$5, _xlfn.XLOOKUP($A53,'QB_Funds Analysis raw'!$A$6:$A$104,'QB_Funds Analysis raw'!$B$6:$AC$104))))</f>
        <v>0</v>
      </c>
      <c r="U53" s="142" cm="1">
        <f t="array" ref="U53">IF(ISERROR(_xlfn.XLOOKUP(U$5,'QB_Funds Analysis raw'!$B$5:$AC$5, _xlfn.XLOOKUP($A53,'QB_Funds Analysis raw'!$A$6:$A$104,'QB_Funds Analysis raw'!$B$6:$AC$104))),0,(_xlfn.XLOOKUP(U$5,'QB_Funds Analysis raw'!$B$5:$AC$5, _xlfn.XLOOKUP($A53,'QB_Funds Analysis raw'!$A$6:$A$104,'QB_Funds Analysis raw'!$B$6:$AC$104))))</f>
        <v>0</v>
      </c>
      <c r="V53" s="142" cm="1">
        <f t="array" ref="V53">IF(ISERROR(_xlfn.XLOOKUP(V$5,'QB_Funds Analysis raw'!$B$5:$AC$5, _xlfn.XLOOKUP($A53,'QB_Funds Analysis raw'!$A$6:$A$104,'QB_Funds Analysis raw'!$B$6:$AC$104))),0,(_xlfn.XLOOKUP(V$5,'QB_Funds Analysis raw'!$B$5:$AC$5, _xlfn.XLOOKUP($A53,'QB_Funds Analysis raw'!$A$6:$A$104,'QB_Funds Analysis raw'!$B$6:$AC$104))))</f>
        <v>0</v>
      </c>
      <c r="W53" s="142" cm="1">
        <f t="array" ref="W53">IF(ISERROR(_xlfn.XLOOKUP(W$5,'QB_Funds Analysis raw'!$B$5:$AC$5, _xlfn.XLOOKUP($A53,'QB_Funds Analysis raw'!$A$6:$A$104,'QB_Funds Analysis raw'!$B$6:$AC$104))),0,(_xlfn.XLOOKUP(W$5,'QB_Funds Analysis raw'!$B$5:$AC$5, _xlfn.XLOOKUP($A53,'QB_Funds Analysis raw'!$A$6:$A$104,'QB_Funds Analysis raw'!$B$6:$AC$104))))</f>
        <v>0</v>
      </c>
      <c r="X53" s="142" cm="1">
        <f t="array" ref="X53">IF(ISERROR(_xlfn.XLOOKUP(X$5,'QB_Funds Analysis raw'!$B$5:$AC$5, _xlfn.XLOOKUP($A53,'QB_Funds Analysis raw'!$A$6:$A$104,'QB_Funds Analysis raw'!$B$6:$AC$104))),0,(_xlfn.XLOOKUP(X$5,'QB_Funds Analysis raw'!$B$5:$AC$5, _xlfn.XLOOKUP($A53,'QB_Funds Analysis raw'!$A$6:$A$104,'QB_Funds Analysis raw'!$B$6:$AC$104))))</f>
        <v>0</v>
      </c>
      <c r="Y53" s="142" cm="1">
        <f t="array" ref="Y53">IF(ISERROR(_xlfn.XLOOKUP(Y$5,'QB_Funds Analysis raw'!$B$5:$AC$5, _xlfn.XLOOKUP($A53,'QB_Funds Analysis raw'!$A$6:$A$104,'QB_Funds Analysis raw'!$B$6:$AC$104))),0,(_xlfn.XLOOKUP(Y$5,'QB_Funds Analysis raw'!$B$5:$AC$5, _xlfn.XLOOKUP($A53,'QB_Funds Analysis raw'!$A$6:$A$104,'QB_Funds Analysis raw'!$B$6:$AC$104))))</f>
        <v>0</v>
      </c>
      <c r="Z53" s="142" cm="1">
        <f t="array" ref="Z53">IF(ISERROR(_xlfn.XLOOKUP(Z$5,'QB_Funds Analysis raw'!$B$5:$AC$5, _xlfn.XLOOKUP($A53,'QB_Funds Analysis raw'!$A$6:$A$104,'QB_Funds Analysis raw'!$B$6:$AC$104))),0,(_xlfn.XLOOKUP(Z$5,'QB_Funds Analysis raw'!$B$5:$AC$5, _xlfn.XLOOKUP($A53,'QB_Funds Analysis raw'!$A$6:$A$104,'QB_Funds Analysis raw'!$B$6:$AC$104))))</f>
        <v>0</v>
      </c>
      <c r="AA53" s="142" cm="1">
        <f t="array" ref="AA53">IF(ISERROR(_xlfn.XLOOKUP(AA$5,'QB_Funds Analysis raw'!$B$5:$AC$5, _xlfn.XLOOKUP($A53,'QB_Funds Analysis raw'!$A$6:$A$104,'QB_Funds Analysis raw'!$B$6:$AC$104))),0,(_xlfn.XLOOKUP(AA$5,'QB_Funds Analysis raw'!$B$5:$AC$5, _xlfn.XLOOKUP($A53,'QB_Funds Analysis raw'!$A$6:$A$104,'QB_Funds Analysis raw'!$B$6:$AC$104))))</f>
        <v>0</v>
      </c>
      <c r="AB53" s="142" cm="1">
        <f t="array" ref="AB53">IF(ISERROR(_xlfn.XLOOKUP(AB$5,'QB_Funds Analysis raw'!$B$5:$AC$5, _xlfn.XLOOKUP($A53,'QB_Funds Analysis raw'!$A$6:$A$104,'QB_Funds Analysis raw'!$B$6:$AC$104))),0,(_xlfn.XLOOKUP(AB$5,'QB_Funds Analysis raw'!$B$5:$AC$5, _xlfn.XLOOKUP($A53,'QB_Funds Analysis raw'!$A$6:$A$104,'QB_Funds Analysis raw'!$B$6:$AC$104))))</f>
        <v>5744.78</v>
      </c>
      <c r="AC53" s="142" cm="1">
        <f t="array" ref="AC53">IF(ISERROR(_xlfn.XLOOKUP(AC$5,'QB_Funds Analysis raw'!$B$5:$AC$5, _xlfn.XLOOKUP($A53,'QB_Funds Analysis raw'!$A$6:$A$104,'QB_Funds Analysis raw'!$B$6:$AC$104))),0,(_xlfn.XLOOKUP(AC$5,'QB_Funds Analysis raw'!$B$5:$AC$5, _xlfn.XLOOKUP($A53,'QB_Funds Analysis raw'!$A$6:$A$104,'QB_Funds Analysis raw'!$B$6:$AC$104))))</f>
        <v>5744.78</v>
      </c>
      <c r="AD53" s="167">
        <f t="shared" si="13"/>
        <v>5744.78</v>
      </c>
      <c r="AE53" s="167">
        <f t="shared" si="4"/>
        <v>0</v>
      </c>
    </row>
    <row r="54" spans="1:31" ht="20.25" customHeight="1" x14ac:dyDescent="0.25">
      <c r="A54" s="2" t="s">
        <v>57</v>
      </c>
      <c r="B54" s="142" cm="1">
        <f t="array" ref="B54">IF(ISERROR(_xlfn.XLOOKUP(B$5,'QB_Funds Analysis raw'!$B$5:$AC$5, _xlfn.XLOOKUP($A54,'QB_Funds Analysis raw'!$A$6:$A$104,'QB_Funds Analysis raw'!$B$6:$AC$104))),0,(_xlfn.XLOOKUP(B$5,'QB_Funds Analysis raw'!$B$5:$AC$5, _xlfn.XLOOKUP($A54,'QB_Funds Analysis raw'!$A$6:$A$104,'QB_Funds Analysis raw'!$B$6:$AC$104))))</f>
        <v>0</v>
      </c>
      <c r="C54" s="142" cm="1">
        <f t="array" ref="C54">IF(ISERROR(_xlfn.XLOOKUP(C$5,'QB_Funds Analysis raw'!$B$5:$AC$5, _xlfn.XLOOKUP($A54,'QB_Funds Analysis raw'!$A$6:$A$104,'QB_Funds Analysis raw'!$B$6:$AC$104))),0,(_xlfn.XLOOKUP(C$5,'QB_Funds Analysis raw'!$B$5:$AC$5, _xlfn.XLOOKUP($A54,'QB_Funds Analysis raw'!$A$6:$A$104,'QB_Funds Analysis raw'!$B$6:$AC$104))))</f>
        <v>0</v>
      </c>
      <c r="D54" s="252" cm="1">
        <f t="array" ref="D54">IF(ISERROR(_xlfn.XLOOKUP(D$5,'QB_Funds Analysis raw'!$B$5:$AC$5, _xlfn.XLOOKUP($A54,'QB_Funds Analysis raw'!$A$6:$A$104,'QB_Funds Analysis raw'!$B$6:$AC$104))),0,(_xlfn.XLOOKUP(D$5,'QB_Funds Analysis raw'!$B$5:$AC$5, _xlfn.XLOOKUP($A54,'QB_Funds Analysis raw'!$A$6:$A$104,'QB_Funds Analysis raw'!$B$6:$AC$104))))</f>
        <v>0</v>
      </c>
      <c r="E54" s="142" cm="1">
        <f t="array" ref="E54">IF(ISERROR(_xlfn.XLOOKUP(E$5,'QB_Funds Analysis raw'!$B$5:$AC$5, _xlfn.XLOOKUP($A54,'QB_Funds Analysis raw'!$A$6:$A$104,'QB_Funds Analysis raw'!$B$6:$AC$104))),0,(_xlfn.XLOOKUP(E$5,'QB_Funds Analysis raw'!$B$5:$AC$5, _xlfn.XLOOKUP($A54,'QB_Funds Analysis raw'!$A$6:$A$104,'QB_Funds Analysis raw'!$B$6:$AC$104))))</f>
        <v>0</v>
      </c>
      <c r="F54" s="142" cm="1">
        <f t="array" ref="F54">IF(ISERROR(_xlfn.XLOOKUP(F$5,'QB_Funds Analysis raw'!$B$5:$AC$5, _xlfn.XLOOKUP($A54,'QB_Funds Analysis raw'!$A$6:$A$104,'QB_Funds Analysis raw'!$B$6:$AC$104))),0,(_xlfn.XLOOKUP(F$5,'QB_Funds Analysis raw'!$B$5:$AC$5, _xlfn.XLOOKUP($A54,'QB_Funds Analysis raw'!$A$6:$A$104,'QB_Funds Analysis raw'!$B$6:$AC$104))))</f>
        <v>0</v>
      </c>
      <c r="G54" s="142" cm="1">
        <f t="array" ref="G54">IF(ISERROR(_xlfn.XLOOKUP(G$5,'QB_Funds Analysis raw'!$B$5:$AC$5, _xlfn.XLOOKUP($A54,'QB_Funds Analysis raw'!$A$6:$A$104,'QB_Funds Analysis raw'!$B$6:$AC$104))),0,(_xlfn.XLOOKUP(G$5,'QB_Funds Analysis raw'!$B$5:$AC$5, _xlfn.XLOOKUP($A54,'QB_Funds Analysis raw'!$A$6:$A$104,'QB_Funds Analysis raw'!$B$6:$AC$104))))</f>
        <v>0</v>
      </c>
      <c r="H54" s="142" cm="1">
        <f t="array" ref="H54">IF(ISERROR(_xlfn.XLOOKUP(H$5,'QB_Funds Analysis raw'!$B$5:$AC$5, _xlfn.XLOOKUP($A54,'QB_Funds Analysis raw'!$A$6:$A$104,'QB_Funds Analysis raw'!$B$6:$AC$104))),0,(_xlfn.XLOOKUP(H$5,'QB_Funds Analysis raw'!$B$5:$AC$5, _xlfn.XLOOKUP($A54,'QB_Funds Analysis raw'!$A$6:$A$104,'QB_Funds Analysis raw'!$B$6:$AC$104))))</f>
        <v>0</v>
      </c>
      <c r="I54" s="142" cm="1">
        <f t="array" ref="I54">IF(ISERROR(_xlfn.XLOOKUP(I$5,'QB_Funds Analysis raw'!$B$5:$AC$5, _xlfn.XLOOKUP($A54,'QB_Funds Analysis raw'!$A$6:$A$104,'QB_Funds Analysis raw'!$B$6:$AC$104))),0,(_xlfn.XLOOKUP(I$5,'QB_Funds Analysis raw'!$B$5:$AC$5, _xlfn.XLOOKUP($A54,'QB_Funds Analysis raw'!$A$6:$A$104,'QB_Funds Analysis raw'!$B$6:$AC$104))))</f>
        <v>0</v>
      </c>
      <c r="J54" s="142" cm="1">
        <f t="array" ref="J54">IF(ISERROR(_xlfn.XLOOKUP(J$5,'QB_Funds Analysis raw'!$B$5:$AC$5, _xlfn.XLOOKUP($A54,'QB_Funds Analysis raw'!$A$6:$A$104,'QB_Funds Analysis raw'!$B$6:$AC$104))),0,(_xlfn.XLOOKUP(J$5,'QB_Funds Analysis raw'!$B$5:$AC$5, _xlfn.XLOOKUP($A54,'QB_Funds Analysis raw'!$A$6:$A$104,'QB_Funds Analysis raw'!$B$6:$AC$104))))</f>
        <v>0</v>
      </c>
      <c r="K54" s="252" cm="1">
        <f t="array" ref="K54">IF(ISERROR(_xlfn.XLOOKUP(K$5,'QB_Funds Analysis raw'!$B$5:$AC$5, _xlfn.XLOOKUP($A54,'QB_Funds Analysis raw'!$A$6:$A$104,'QB_Funds Analysis raw'!$B$6:$AC$104))),0,(_xlfn.XLOOKUP(K$5,'QB_Funds Analysis raw'!$B$5:$AC$5, _xlfn.XLOOKUP($A54,'QB_Funds Analysis raw'!$A$6:$A$104,'QB_Funds Analysis raw'!$B$6:$AC$104))))</f>
        <v>0</v>
      </c>
      <c r="L54" s="142" cm="1">
        <f t="array" ref="L54">IF(ISERROR(_xlfn.XLOOKUP(L$5,'QB_Funds Analysis raw'!$B$5:$AC$5, _xlfn.XLOOKUP($A54,'QB_Funds Analysis raw'!$A$6:$A$104,'QB_Funds Analysis raw'!$B$6:$AC$104))),0,(_xlfn.XLOOKUP(L$5,'QB_Funds Analysis raw'!$B$5:$AC$5, _xlfn.XLOOKUP($A54,'QB_Funds Analysis raw'!$A$6:$A$104,'QB_Funds Analysis raw'!$B$6:$AC$104))))</f>
        <v>0</v>
      </c>
      <c r="M54" s="142" cm="1">
        <f t="array" ref="M54">IF(ISERROR(_xlfn.XLOOKUP(M$5,'QB_Funds Analysis raw'!$B$5:$AC$5, _xlfn.XLOOKUP($A54,'QB_Funds Analysis raw'!$A$6:$A$104,'QB_Funds Analysis raw'!$B$6:$AC$104))),0,(_xlfn.XLOOKUP(M$5,'QB_Funds Analysis raw'!$B$5:$AC$5, _xlfn.XLOOKUP($A54,'QB_Funds Analysis raw'!$A$6:$A$104,'QB_Funds Analysis raw'!$B$6:$AC$104))))</f>
        <v>0</v>
      </c>
      <c r="N54" s="252" cm="1">
        <f t="array" ref="N54">IF(ISERROR(_xlfn.XLOOKUP(N$5,'QB_Funds Analysis raw'!$B$5:$AC$5, _xlfn.XLOOKUP($A54,'QB_Funds Analysis raw'!$A$6:$A$104,'QB_Funds Analysis raw'!$B$6:$AC$104))),0,(_xlfn.XLOOKUP(N$5,'QB_Funds Analysis raw'!$B$5:$AC$5, _xlfn.XLOOKUP($A54,'QB_Funds Analysis raw'!$A$6:$A$104,'QB_Funds Analysis raw'!$B$6:$AC$104))))</f>
        <v>0</v>
      </c>
      <c r="O54" s="252" cm="1">
        <f t="array" ref="O54">IF(ISERROR(_xlfn.XLOOKUP(O$5,'QB_Funds Analysis raw'!$B$5:$AC$5, _xlfn.XLOOKUP($A54,'QB_Funds Analysis raw'!$A$6:$A$104,'QB_Funds Analysis raw'!$B$6:$AC$104))),0,(_xlfn.XLOOKUP(O$5,'QB_Funds Analysis raw'!$B$5:$AC$5, _xlfn.XLOOKUP($A54,'QB_Funds Analysis raw'!$A$6:$A$104,'QB_Funds Analysis raw'!$B$6:$AC$104))))</f>
        <v>0</v>
      </c>
      <c r="P54" s="142" cm="1">
        <f t="array" ref="P54">IF(ISERROR(_xlfn.XLOOKUP(P$5,'QB_Funds Analysis raw'!$B$5:$AC$5, _xlfn.XLOOKUP($A54,'QB_Funds Analysis raw'!$A$6:$A$104,'QB_Funds Analysis raw'!$B$6:$AC$104))),0,(_xlfn.XLOOKUP(P$5,'QB_Funds Analysis raw'!$B$5:$AC$5, _xlfn.XLOOKUP($A54,'QB_Funds Analysis raw'!$A$6:$A$104,'QB_Funds Analysis raw'!$B$6:$AC$104))))</f>
        <v>0</v>
      </c>
      <c r="Q54" s="247" cm="1">
        <f t="array" ref="Q54">IF(ISERROR(_xlfn.XLOOKUP(Q$5,'QB_Funds Analysis raw'!$B$5:$AC$5, _xlfn.XLOOKUP($A54,'QB_Funds Analysis raw'!$A$6:$A$104,'QB_Funds Analysis raw'!$B$6:$AC$104))),0,(_xlfn.XLOOKUP(Q$5,'QB_Funds Analysis raw'!$B$5:$AC$5, _xlfn.XLOOKUP($A54,'QB_Funds Analysis raw'!$A$6:$A$104,'QB_Funds Analysis raw'!$B$6:$AC$104))))</f>
        <v>0</v>
      </c>
      <c r="R54" s="142" cm="1">
        <f t="array" ref="R54">IF(ISERROR(_xlfn.XLOOKUP(R$5,'QB_Funds Analysis raw'!$B$5:$AC$5, _xlfn.XLOOKUP($A54,'QB_Funds Analysis raw'!$A$6:$A$104,'QB_Funds Analysis raw'!$B$6:$AC$104))),0,(_xlfn.XLOOKUP(R$5,'QB_Funds Analysis raw'!$B$5:$AC$5, _xlfn.XLOOKUP($A54,'QB_Funds Analysis raw'!$A$6:$A$104,'QB_Funds Analysis raw'!$B$6:$AC$104))))</f>
        <v>0</v>
      </c>
      <c r="S54" s="142" cm="1">
        <f t="array" ref="S54">IF(ISERROR(_xlfn.XLOOKUP(S$5,'QB_Funds Analysis raw'!$B$5:$AC$5, _xlfn.XLOOKUP($A54,'QB_Funds Analysis raw'!$A$6:$A$104,'QB_Funds Analysis raw'!$B$6:$AC$104))),0,(_xlfn.XLOOKUP(S$5,'QB_Funds Analysis raw'!$B$5:$AC$5, _xlfn.XLOOKUP($A54,'QB_Funds Analysis raw'!$A$6:$A$104,'QB_Funds Analysis raw'!$B$6:$AC$104))))</f>
        <v>0</v>
      </c>
      <c r="T54" s="142" cm="1">
        <f t="array" ref="T54">IF(ISERROR(_xlfn.XLOOKUP(T$5,'QB_Funds Analysis raw'!$B$5:$AC$5, _xlfn.XLOOKUP($A54,'QB_Funds Analysis raw'!$A$6:$A$104,'QB_Funds Analysis raw'!$B$6:$AC$104))),0,(_xlfn.XLOOKUP(T$5,'QB_Funds Analysis raw'!$B$5:$AC$5, _xlfn.XLOOKUP($A54,'QB_Funds Analysis raw'!$A$6:$A$104,'QB_Funds Analysis raw'!$B$6:$AC$104))))</f>
        <v>0</v>
      </c>
      <c r="U54" s="142" cm="1">
        <f t="array" ref="U54">IF(ISERROR(_xlfn.XLOOKUP(U$5,'QB_Funds Analysis raw'!$B$5:$AC$5, _xlfn.XLOOKUP($A54,'QB_Funds Analysis raw'!$A$6:$A$104,'QB_Funds Analysis raw'!$B$6:$AC$104))),0,(_xlfn.XLOOKUP(U$5,'QB_Funds Analysis raw'!$B$5:$AC$5, _xlfn.XLOOKUP($A54,'QB_Funds Analysis raw'!$A$6:$A$104,'QB_Funds Analysis raw'!$B$6:$AC$104))))</f>
        <v>0</v>
      </c>
      <c r="V54" s="142" cm="1">
        <f t="array" ref="V54">IF(ISERROR(_xlfn.XLOOKUP(V$5,'QB_Funds Analysis raw'!$B$5:$AC$5, _xlfn.XLOOKUP($A54,'QB_Funds Analysis raw'!$A$6:$A$104,'QB_Funds Analysis raw'!$B$6:$AC$104))),0,(_xlfn.XLOOKUP(V$5,'QB_Funds Analysis raw'!$B$5:$AC$5, _xlfn.XLOOKUP($A54,'QB_Funds Analysis raw'!$A$6:$A$104,'QB_Funds Analysis raw'!$B$6:$AC$104))))</f>
        <v>0</v>
      </c>
      <c r="W54" s="142" cm="1">
        <f t="array" ref="W54">IF(ISERROR(_xlfn.XLOOKUP(W$5,'QB_Funds Analysis raw'!$B$5:$AC$5, _xlfn.XLOOKUP($A54,'QB_Funds Analysis raw'!$A$6:$A$104,'QB_Funds Analysis raw'!$B$6:$AC$104))),0,(_xlfn.XLOOKUP(W$5,'QB_Funds Analysis raw'!$B$5:$AC$5, _xlfn.XLOOKUP($A54,'QB_Funds Analysis raw'!$A$6:$A$104,'QB_Funds Analysis raw'!$B$6:$AC$104))))</f>
        <v>0</v>
      </c>
      <c r="X54" s="142" cm="1">
        <f t="array" ref="X54">IF(ISERROR(_xlfn.XLOOKUP(X$5,'QB_Funds Analysis raw'!$B$5:$AC$5, _xlfn.XLOOKUP($A54,'QB_Funds Analysis raw'!$A$6:$A$104,'QB_Funds Analysis raw'!$B$6:$AC$104))),0,(_xlfn.XLOOKUP(X$5,'QB_Funds Analysis raw'!$B$5:$AC$5, _xlfn.XLOOKUP($A54,'QB_Funds Analysis raw'!$A$6:$A$104,'QB_Funds Analysis raw'!$B$6:$AC$104))))</f>
        <v>0</v>
      </c>
      <c r="Y54" s="142" cm="1">
        <f t="array" ref="Y54">IF(ISERROR(_xlfn.XLOOKUP(Y$5,'QB_Funds Analysis raw'!$B$5:$AC$5, _xlfn.XLOOKUP($A54,'QB_Funds Analysis raw'!$A$6:$A$104,'QB_Funds Analysis raw'!$B$6:$AC$104))),0,(_xlfn.XLOOKUP(Y$5,'QB_Funds Analysis raw'!$B$5:$AC$5, _xlfn.XLOOKUP($A54,'QB_Funds Analysis raw'!$A$6:$A$104,'QB_Funds Analysis raw'!$B$6:$AC$104))))</f>
        <v>0</v>
      </c>
      <c r="Z54" s="142" cm="1">
        <f t="array" ref="Z54">IF(ISERROR(_xlfn.XLOOKUP(Z$5,'QB_Funds Analysis raw'!$B$5:$AC$5, _xlfn.XLOOKUP($A54,'QB_Funds Analysis raw'!$A$6:$A$104,'QB_Funds Analysis raw'!$B$6:$AC$104))),0,(_xlfn.XLOOKUP(Z$5,'QB_Funds Analysis raw'!$B$5:$AC$5, _xlfn.XLOOKUP($A54,'QB_Funds Analysis raw'!$A$6:$A$104,'QB_Funds Analysis raw'!$B$6:$AC$104))))</f>
        <v>0</v>
      </c>
      <c r="AA54" s="142" cm="1">
        <f t="array" ref="AA54">IF(ISERROR(_xlfn.XLOOKUP(AA$5,'QB_Funds Analysis raw'!$B$5:$AC$5, _xlfn.XLOOKUP($A54,'QB_Funds Analysis raw'!$A$6:$A$104,'QB_Funds Analysis raw'!$B$6:$AC$104))),0,(_xlfn.XLOOKUP(AA$5,'QB_Funds Analysis raw'!$B$5:$AC$5, _xlfn.XLOOKUP($A54,'QB_Funds Analysis raw'!$A$6:$A$104,'QB_Funds Analysis raw'!$B$6:$AC$104))))</f>
        <v>0</v>
      </c>
      <c r="AB54" s="142" cm="1">
        <f t="array" ref="AB54">IF(ISERROR(_xlfn.XLOOKUP(AB$5,'QB_Funds Analysis raw'!$B$5:$AC$5, _xlfn.XLOOKUP($A54,'QB_Funds Analysis raw'!$A$6:$A$104,'QB_Funds Analysis raw'!$B$6:$AC$104))),0,(_xlfn.XLOOKUP(AB$5,'QB_Funds Analysis raw'!$B$5:$AC$5, _xlfn.XLOOKUP($A54,'QB_Funds Analysis raw'!$A$6:$A$104,'QB_Funds Analysis raw'!$B$6:$AC$104))))</f>
        <v>2155.91</v>
      </c>
      <c r="AC54" s="142" cm="1">
        <f t="array" ref="AC54">IF(ISERROR(_xlfn.XLOOKUP(AC$5,'QB_Funds Analysis raw'!$B$5:$AC$5, _xlfn.XLOOKUP($A54,'QB_Funds Analysis raw'!$A$6:$A$104,'QB_Funds Analysis raw'!$B$6:$AC$104))),0,(_xlfn.XLOOKUP(AC$5,'QB_Funds Analysis raw'!$B$5:$AC$5, _xlfn.XLOOKUP($A54,'QB_Funds Analysis raw'!$A$6:$A$104,'QB_Funds Analysis raw'!$B$6:$AC$104))))</f>
        <v>2155.91</v>
      </c>
      <c r="AD54" s="167">
        <f t="shared" si="13"/>
        <v>2155.91</v>
      </c>
      <c r="AE54" s="167">
        <f t="shared" si="4"/>
        <v>0</v>
      </c>
    </row>
    <row r="55" spans="1:31" ht="20.25" customHeight="1" x14ac:dyDescent="0.25">
      <c r="A55" s="2" t="s">
        <v>58</v>
      </c>
      <c r="B55" s="142" cm="1">
        <f t="array" ref="B55">IF(ISERROR(_xlfn.XLOOKUP(B$5,'QB_Funds Analysis raw'!$B$5:$AC$5, _xlfn.XLOOKUP($A55,'QB_Funds Analysis raw'!$A$6:$A$104,'QB_Funds Analysis raw'!$B$6:$AC$104))),0,(_xlfn.XLOOKUP(B$5,'QB_Funds Analysis raw'!$B$5:$AC$5, _xlfn.XLOOKUP($A55,'QB_Funds Analysis raw'!$A$6:$A$104,'QB_Funds Analysis raw'!$B$6:$AC$104))))</f>
        <v>0</v>
      </c>
      <c r="C55" s="142" cm="1">
        <f t="array" ref="C55">IF(ISERROR(_xlfn.XLOOKUP(C$5,'QB_Funds Analysis raw'!$B$5:$AC$5, _xlfn.XLOOKUP($A55,'QB_Funds Analysis raw'!$A$6:$A$104,'QB_Funds Analysis raw'!$B$6:$AC$104))),0,(_xlfn.XLOOKUP(C$5,'QB_Funds Analysis raw'!$B$5:$AC$5, _xlfn.XLOOKUP($A55,'QB_Funds Analysis raw'!$A$6:$A$104,'QB_Funds Analysis raw'!$B$6:$AC$104))))</f>
        <v>0</v>
      </c>
      <c r="D55" s="252" cm="1">
        <f t="array" ref="D55">IF(ISERROR(_xlfn.XLOOKUP(D$5,'QB_Funds Analysis raw'!$B$5:$AC$5, _xlfn.XLOOKUP($A55,'QB_Funds Analysis raw'!$A$6:$A$104,'QB_Funds Analysis raw'!$B$6:$AC$104))),0,(_xlfn.XLOOKUP(D$5,'QB_Funds Analysis raw'!$B$5:$AC$5, _xlfn.XLOOKUP($A55,'QB_Funds Analysis raw'!$A$6:$A$104,'QB_Funds Analysis raw'!$B$6:$AC$104))))</f>
        <v>0</v>
      </c>
      <c r="E55" s="142" cm="1">
        <f t="array" ref="E55">IF(ISERROR(_xlfn.XLOOKUP(E$5,'QB_Funds Analysis raw'!$B$5:$AC$5, _xlfn.XLOOKUP($A55,'QB_Funds Analysis raw'!$A$6:$A$104,'QB_Funds Analysis raw'!$B$6:$AC$104))),0,(_xlfn.XLOOKUP(E$5,'QB_Funds Analysis raw'!$B$5:$AC$5, _xlfn.XLOOKUP($A55,'QB_Funds Analysis raw'!$A$6:$A$104,'QB_Funds Analysis raw'!$B$6:$AC$104))))</f>
        <v>0</v>
      </c>
      <c r="F55" s="142" cm="1">
        <f t="array" ref="F55">IF(ISERROR(_xlfn.XLOOKUP(F$5,'QB_Funds Analysis raw'!$B$5:$AC$5, _xlfn.XLOOKUP($A55,'QB_Funds Analysis raw'!$A$6:$A$104,'QB_Funds Analysis raw'!$B$6:$AC$104))),0,(_xlfn.XLOOKUP(F$5,'QB_Funds Analysis raw'!$B$5:$AC$5, _xlfn.XLOOKUP($A55,'QB_Funds Analysis raw'!$A$6:$A$104,'QB_Funds Analysis raw'!$B$6:$AC$104))))</f>
        <v>0</v>
      </c>
      <c r="G55" s="142" cm="1">
        <f t="array" ref="G55">IF(ISERROR(_xlfn.XLOOKUP(G$5,'QB_Funds Analysis raw'!$B$5:$AC$5, _xlfn.XLOOKUP($A55,'QB_Funds Analysis raw'!$A$6:$A$104,'QB_Funds Analysis raw'!$B$6:$AC$104))),0,(_xlfn.XLOOKUP(G$5,'QB_Funds Analysis raw'!$B$5:$AC$5, _xlfn.XLOOKUP($A55,'QB_Funds Analysis raw'!$A$6:$A$104,'QB_Funds Analysis raw'!$B$6:$AC$104))))</f>
        <v>0</v>
      </c>
      <c r="H55" s="142" cm="1">
        <f t="array" ref="H55">IF(ISERROR(_xlfn.XLOOKUP(H$5,'QB_Funds Analysis raw'!$B$5:$AC$5, _xlfn.XLOOKUP($A55,'QB_Funds Analysis raw'!$A$6:$A$104,'QB_Funds Analysis raw'!$B$6:$AC$104))),0,(_xlfn.XLOOKUP(H$5,'QB_Funds Analysis raw'!$B$5:$AC$5, _xlfn.XLOOKUP($A55,'QB_Funds Analysis raw'!$A$6:$A$104,'QB_Funds Analysis raw'!$B$6:$AC$104))))</f>
        <v>0</v>
      </c>
      <c r="I55" s="142" cm="1">
        <f t="array" ref="I55">IF(ISERROR(_xlfn.XLOOKUP(I$5,'QB_Funds Analysis raw'!$B$5:$AC$5, _xlfn.XLOOKUP($A55,'QB_Funds Analysis raw'!$A$6:$A$104,'QB_Funds Analysis raw'!$B$6:$AC$104))),0,(_xlfn.XLOOKUP(I$5,'QB_Funds Analysis raw'!$B$5:$AC$5, _xlfn.XLOOKUP($A55,'QB_Funds Analysis raw'!$A$6:$A$104,'QB_Funds Analysis raw'!$B$6:$AC$104))))</f>
        <v>0</v>
      </c>
      <c r="J55" s="142" cm="1">
        <f t="array" ref="J55">IF(ISERROR(_xlfn.XLOOKUP(J$5,'QB_Funds Analysis raw'!$B$5:$AC$5, _xlfn.XLOOKUP($A55,'QB_Funds Analysis raw'!$A$6:$A$104,'QB_Funds Analysis raw'!$B$6:$AC$104))),0,(_xlfn.XLOOKUP(J$5,'QB_Funds Analysis raw'!$B$5:$AC$5, _xlfn.XLOOKUP($A55,'QB_Funds Analysis raw'!$A$6:$A$104,'QB_Funds Analysis raw'!$B$6:$AC$104))))</f>
        <v>0</v>
      </c>
      <c r="K55" s="252" cm="1">
        <f t="array" ref="K55">IF(ISERROR(_xlfn.XLOOKUP(K$5,'QB_Funds Analysis raw'!$B$5:$AC$5, _xlfn.XLOOKUP($A55,'QB_Funds Analysis raw'!$A$6:$A$104,'QB_Funds Analysis raw'!$B$6:$AC$104))),0,(_xlfn.XLOOKUP(K$5,'QB_Funds Analysis raw'!$B$5:$AC$5, _xlfn.XLOOKUP($A55,'QB_Funds Analysis raw'!$A$6:$A$104,'QB_Funds Analysis raw'!$B$6:$AC$104))))</f>
        <v>0</v>
      </c>
      <c r="L55" s="142" cm="1">
        <f t="array" ref="L55">IF(ISERROR(_xlfn.XLOOKUP(L$5,'QB_Funds Analysis raw'!$B$5:$AC$5, _xlfn.XLOOKUP($A55,'QB_Funds Analysis raw'!$A$6:$A$104,'QB_Funds Analysis raw'!$B$6:$AC$104))),0,(_xlfn.XLOOKUP(L$5,'QB_Funds Analysis raw'!$B$5:$AC$5, _xlfn.XLOOKUP($A55,'QB_Funds Analysis raw'!$A$6:$A$104,'QB_Funds Analysis raw'!$B$6:$AC$104))))</f>
        <v>0</v>
      </c>
      <c r="M55" s="142" cm="1">
        <f t="array" ref="M55">IF(ISERROR(_xlfn.XLOOKUP(M$5,'QB_Funds Analysis raw'!$B$5:$AC$5, _xlfn.XLOOKUP($A55,'QB_Funds Analysis raw'!$A$6:$A$104,'QB_Funds Analysis raw'!$B$6:$AC$104))),0,(_xlfn.XLOOKUP(M$5,'QB_Funds Analysis raw'!$B$5:$AC$5, _xlfn.XLOOKUP($A55,'QB_Funds Analysis raw'!$A$6:$A$104,'QB_Funds Analysis raw'!$B$6:$AC$104))))</f>
        <v>0</v>
      </c>
      <c r="N55" s="252" cm="1">
        <f t="array" ref="N55">IF(ISERROR(_xlfn.XLOOKUP(N$5,'QB_Funds Analysis raw'!$B$5:$AC$5, _xlfn.XLOOKUP($A55,'QB_Funds Analysis raw'!$A$6:$A$104,'QB_Funds Analysis raw'!$B$6:$AC$104))),0,(_xlfn.XLOOKUP(N$5,'QB_Funds Analysis raw'!$B$5:$AC$5, _xlfn.XLOOKUP($A55,'QB_Funds Analysis raw'!$A$6:$A$104,'QB_Funds Analysis raw'!$B$6:$AC$104))))</f>
        <v>0</v>
      </c>
      <c r="O55" s="252" cm="1">
        <f t="array" ref="O55">IF(ISERROR(_xlfn.XLOOKUP(O$5,'QB_Funds Analysis raw'!$B$5:$AC$5, _xlfn.XLOOKUP($A55,'QB_Funds Analysis raw'!$A$6:$A$104,'QB_Funds Analysis raw'!$B$6:$AC$104))),0,(_xlfn.XLOOKUP(O$5,'QB_Funds Analysis raw'!$B$5:$AC$5, _xlfn.XLOOKUP($A55,'QB_Funds Analysis raw'!$A$6:$A$104,'QB_Funds Analysis raw'!$B$6:$AC$104))))</f>
        <v>0</v>
      </c>
      <c r="P55" s="142" cm="1">
        <f t="array" ref="P55">IF(ISERROR(_xlfn.XLOOKUP(P$5,'QB_Funds Analysis raw'!$B$5:$AC$5, _xlfn.XLOOKUP($A55,'QB_Funds Analysis raw'!$A$6:$A$104,'QB_Funds Analysis raw'!$B$6:$AC$104))),0,(_xlfn.XLOOKUP(P$5,'QB_Funds Analysis raw'!$B$5:$AC$5, _xlfn.XLOOKUP($A55,'QB_Funds Analysis raw'!$A$6:$A$104,'QB_Funds Analysis raw'!$B$6:$AC$104))))</f>
        <v>0</v>
      </c>
      <c r="Q55" s="247" cm="1">
        <f t="array" ref="Q55">IF(ISERROR(_xlfn.XLOOKUP(Q$5,'QB_Funds Analysis raw'!$B$5:$AC$5, _xlfn.XLOOKUP($A55,'QB_Funds Analysis raw'!$A$6:$A$104,'QB_Funds Analysis raw'!$B$6:$AC$104))),0,(_xlfn.XLOOKUP(Q$5,'QB_Funds Analysis raw'!$B$5:$AC$5, _xlfn.XLOOKUP($A55,'QB_Funds Analysis raw'!$A$6:$A$104,'QB_Funds Analysis raw'!$B$6:$AC$104))))</f>
        <v>0</v>
      </c>
      <c r="R55" s="142" cm="1">
        <f t="array" ref="R55">IF(ISERROR(_xlfn.XLOOKUP(R$5,'QB_Funds Analysis raw'!$B$5:$AC$5, _xlfn.XLOOKUP($A55,'QB_Funds Analysis raw'!$A$6:$A$104,'QB_Funds Analysis raw'!$B$6:$AC$104))),0,(_xlfn.XLOOKUP(R$5,'QB_Funds Analysis raw'!$B$5:$AC$5, _xlfn.XLOOKUP($A55,'QB_Funds Analysis raw'!$A$6:$A$104,'QB_Funds Analysis raw'!$B$6:$AC$104))))</f>
        <v>0</v>
      </c>
      <c r="S55" s="142" cm="1">
        <f t="array" ref="S55">IF(ISERROR(_xlfn.XLOOKUP(S$5,'QB_Funds Analysis raw'!$B$5:$AC$5, _xlfn.XLOOKUP($A55,'QB_Funds Analysis raw'!$A$6:$A$104,'QB_Funds Analysis raw'!$B$6:$AC$104))),0,(_xlfn.XLOOKUP(S$5,'QB_Funds Analysis raw'!$B$5:$AC$5, _xlfn.XLOOKUP($A55,'QB_Funds Analysis raw'!$A$6:$A$104,'QB_Funds Analysis raw'!$B$6:$AC$104))))</f>
        <v>0</v>
      </c>
      <c r="T55" s="142" cm="1">
        <f t="array" ref="T55">IF(ISERROR(_xlfn.XLOOKUP(T$5,'QB_Funds Analysis raw'!$B$5:$AC$5, _xlfn.XLOOKUP($A55,'QB_Funds Analysis raw'!$A$6:$A$104,'QB_Funds Analysis raw'!$B$6:$AC$104))),0,(_xlfn.XLOOKUP(T$5,'QB_Funds Analysis raw'!$B$5:$AC$5, _xlfn.XLOOKUP($A55,'QB_Funds Analysis raw'!$A$6:$A$104,'QB_Funds Analysis raw'!$B$6:$AC$104))))</f>
        <v>0</v>
      </c>
      <c r="U55" s="142" cm="1">
        <f t="array" ref="U55">IF(ISERROR(_xlfn.XLOOKUP(U$5,'QB_Funds Analysis raw'!$B$5:$AC$5, _xlfn.XLOOKUP($A55,'QB_Funds Analysis raw'!$A$6:$A$104,'QB_Funds Analysis raw'!$B$6:$AC$104))),0,(_xlfn.XLOOKUP(U$5,'QB_Funds Analysis raw'!$B$5:$AC$5, _xlfn.XLOOKUP($A55,'QB_Funds Analysis raw'!$A$6:$A$104,'QB_Funds Analysis raw'!$B$6:$AC$104))))</f>
        <v>0</v>
      </c>
      <c r="V55" s="142" cm="1">
        <f t="array" ref="V55">IF(ISERROR(_xlfn.XLOOKUP(V$5,'QB_Funds Analysis raw'!$B$5:$AC$5, _xlfn.XLOOKUP($A55,'QB_Funds Analysis raw'!$A$6:$A$104,'QB_Funds Analysis raw'!$B$6:$AC$104))),0,(_xlfn.XLOOKUP(V$5,'QB_Funds Analysis raw'!$B$5:$AC$5, _xlfn.XLOOKUP($A55,'QB_Funds Analysis raw'!$A$6:$A$104,'QB_Funds Analysis raw'!$B$6:$AC$104))))</f>
        <v>0</v>
      </c>
      <c r="W55" s="142" cm="1">
        <f t="array" ref="W55">IF(ISERROR(_xlfn.XLOOKUP(W$5,'QB_Funds Analysis raw'!$B$5:$AC$5, _xlfn.XLOOKUP($A55,'QB_Funds Analysis raw'!$A$6:$A$104,'QB_Funds Analysis raw'!$B$6:$AC$104))),0,(_xlfn.XLOOKUP(W$5,'QB_Funds Analysis raw'!$B$5:$AC$5, _xlfn.XLOOKUP($A55,'QB_Funds Analysis raw'!$A$6:$A$104,'QB_Funds Analysis raw'!$B$6:$AC$104))))</f>
        <v>0</v>
      </c>
      <c r="X55" s="142" cm="1">
        <f t="array" ref="X55">IF(ISERROR(_xlfn.XLOOKUP(X$5,'QB_Funds Analysis raw'!$B$5:$AC$5, _xlfn.XLOOKUP($A55,'QB_Funds Analysis raw'!$A$6:$A$104,'QB_Funds Analysis raw'!$B$6:$AC$104))),0,(_xlfn.XLOOKUP(X$5,'QB_Funds Analysis raw'!$B$5:$AC$5, _xlfn.XLOOKUP($A55,'QB_Funds Analysis raw'!$A$6:$A$104,'QB_Funds Analysis raw'!$B$6:$AC$104))))</f>
        <v>0</v>
      </c>
      <c r="Y55" s="142" cm="1">
        <f t="array" ref="Y55">IF(ISERROR(_xlfn.XLOOKUP(Y$5,'QB_Funds Analysis raw'!$B$5:$AC$5, _xlfn.XLOOKUP($A55,'QB_Funds Analysis raw'!$A$6:$A$104,'QB_Funds Analysis raw'!$B$6:$AC$104))),0,(_xlfn.XLOOKUP(Y$5,'QB_Funds Analysis raw'!$B$5:$AC$5, _xlfn.XLOOKUP($A55,'QB_Funds Analysis raw'!$A$6:$A$104,'QB_Funds Analysis raw'!$B$6:$AC$104))))</f>
        <v>0</v>
      </c>
      <c r="Z55" s="142" cm="1">
        <f t="array" ref="Z55">IF(ISERROR(_xlfn.XLOOKUP(Z$5,'QB_Funds Analysis raw'!$B$5:$AC$5, _xlfn.XLOOKUP($A55,'QB_Funds Analysis raw'!$A$6:$A$104,'QB_Funds Analysis raw'!$B$6:$AC$104))),0,(_xlfn.XLOOKUP(Z$5,'QB_Funds Analysis raw'!$B$5:$AC$5, _xlfn.XLOOKUP($A55,'QB_Funds Analysis raw'!$A$6:$A$104,'QB_Funds Analysis raw'!$B$6:$AC$104))))</f>
        <v>0</v>
      </c>
      <c r="AA55" s="142" cm="1">
        <f t="array" ref="AA55">IF(ISERROR(_xlfn.XLOOKUP(AA$5,'QB_Funds Analysis raw'!$B$5:$AC$5, _xlfn.XLOOKUP($A55,'QB_Funds Analysis raw'!$A$6:$A$104,'QB_Funds Analysis raw'!$B$6:$AC$104))),0,(_xlfn.XLOOKUP(AA$5,'QB_Funds Analysis raw'!$B$5:$AC$5, _xlfn.XLOOKUP($A55,'QB_Funds Analysis raw'!$A$6:$A$104,'QB_Funds Analysis raw'!$B$6:$AC$104))))</f>
        <v>0</v>
      </c>
      <c r="AB55" s="142" cm="1">
        <f t="array" ref="AB55">IF(ISERROR(_xlfn.XLOOKUP(AB$5,'QB_Funds Analysis raw'!$B$5:$AC$5, _xlfn.XLOOKUP($A55,'QB_Funds Analysis raw'!$A$6:$A$104,'QB_Funds Analysis raw'!$B$6:$AC$104))),0,(_xlfn.XLOOKUP(AB$5,'QB_Funds Analysis raw'!$B$5:$AC$5, _xlfn.XLOOKUP($A55,'QB_Funds Analysis raw'!$A$6:$A$104,'QB_Funds Analysis raw'!$B$6:$AC$104))))</f>
        <v>1780.44</v>
      </c>
      <c r="AC55" s="142" cm="1">
        <f t="array" ref="AC55">IF(ISERROR(_xlfn.XLOOKUP(AC$5,'QB_Funds Analysis raw'!$B$5:$AC$5, _xlfn.XLOOKUP($A55,'QB_Funds Analysis raw'!$A$6:$A$104,'QB_Funds Analysis raw'!$B$6:$AC$104))),0,(_xlfn.XLOOKUP(AC$5,'QB_Funds Analysis raw'!$B$5:$AC$5, _xlfn.XLOOKUP($A55,'QB_Funds Analysis raw'!$A$6:$A$104,'QB_Funds Analysis raw'!$B$6:$AC$104))))</f>
        <v>1780.44</v>
      </c>
      <c r="AD55" s="167">
        <f t="shared" si="13"/>
        <v>1780.44</v>
      </c>
      <c r="AE55" s="167">
        <f t="shared" si="4"/>
        <v>0</v>
      </c>
    </row>
    <row r="56" spans="1:31" ht="20.25" customHeight="1" x14ac:dyDescent="0.25">
      <c r="A56" s="134" t="s">
        <v>59</v>
      </c>
      <c r="B56" s="151">
        <f t="shared" ref="B56" si="17">((((B51)+(B52))+(B53))+(B54))+(B55)</f>
        <v>0</v>
      </c>
      <c r="C56" s="151">
        <f t="shared" ref="C56:AC56" si="18">((((C51)+(C52))+(C53))+(C54))+(C55)</f>
        <v>0</v>
      </c>
      <c r="D56" s="253">
        <f t="shared" si="18"/>
        <v>0</v>
      </c>
      <c r="E56" s="151">
        <f t="shared" si="18"/>
        <v>0</v>
      </c>
      <c r="F56" s="151">
        <f t="shared" si="18"/>
        <v>0</v>
      </c>
      <c r="G56" s="151">
        <f t="shared" si="18"/>
        <v>0</v>
      </c>
      <c r="H56" s="151">
        <f t="shared" si="18"/>
        <v>0</v>
      </c>
      <c r="I56" s="151">
        <f t="shared" si="18"/>
        <v>0</v>
      </c>
      <c r="J56" s="151">
        <f t="shared" si="18"/>
        <v>0</v>
      </c>
      <c r="K56" s="253">
        <f t="shared" si="18"/>
        <v>0</v>
      </c>
      <c r="L56" s="151">
        <f t="shared" si="18"/>
        <v>0</v>
      </c>
      <c r="M56" s="151">
        <f t="shared" si="18"/>
        <v>0</v>
      </c>
      <c r="N56" s="253">
        <f t="shared" si="18"/>
        <v>0</v>
      </c>
      <c r="O56" s="253">
        <f t="shared" si="18"/>
        <v>0</v>
      </c>
      <c r="P56" s="151">
        <f t="shared" si="18"/>
        <v>0</v>
      </c>
      <c r="Q56" s="244">
        <f t="shared" si="18"/>
        <v>0</v>
      </c>
      <c r="R56" s="151">
        <f t="shared" si="18"/>
        <v>0</v>
      </c>
      <c r="S56" s="151">
        <f t="shared" si="18"/>
        <v>0</v>
      </c>
      <c r="T56" s="151">
        <f t="shared" si="18"/>
        <v>0</v>
      </c>
      <c r="U56" s="151">
        <f t="shared" si="18"/>
        <v>0</v>
      </c>
      <c r="V56" s="151">
        <f t="shared" si="18"/>
        <v>0</v>
      </c>
      <c r="W56" s="151">
        <f t="shared" si="18"/>
        <v>0</v>
      </c>
      <c r="X56" s="151">
        <f t="shared" si="18"/>
        <v>0</v>
      </c>
      <c r="Y56" s="151">
        <f t="shared" si="18"/>
        <v>0</v>
      </c>
      <c r="Z56" s="151">
        <f t="shared" si="18"/>
        <v>0</v>
      </c>
      <c r="AA56" s="151">
        <f t="shared" si="18"/>
        <v>0</v>
      </c>
      <c r="AB56" s="151">
        <f t="shared" si="18"/>
        <v>5388.869999999999</v>
      </c>
      <c r="AC56" s="151">
        <f t="shared" si="18"/>
        <v>5388.869999999999</v>
      </c>
      <c r="AD56" s="167">
        <f t="shared" si="13"/>
        <v>5388.869999999999</v>
      </c>
      <c r="AE56" s="167">
        <f t="shared" si="4"/>
        <v>0</v>
      </c>
    </row>
    <row r="57" spans="1:31" ht="20.25" customHeight="1" x14ac:dyDescent="0.25">
      <c r="A57" s="2" t="s">
        <v>60</v>
      </c>
      <c r="B57" s="142" cm="1">
        <f t="array" ref="B57">IF(ISERROR(_xlfn.XLOOKUP(B$5,'QB_Funds Analysis raw'!$B$5:$AC$5, _xlfn.XLOOKUP($A57,'QB_Funds Analysis raw'!$A$6:$A$104,'QB_Funds Analysis raw'!$B$6:$AC$104))),0,(_xlfn.XLOOKUP(B$5,'QB_Funds Analysis raw'!$B$5:$AC$5, _xlfn.XLOOKUP($A57,'QB_Funds Analysis raw'!$A$6:$A$104,'QB_Funds Analysis raw'!$B$6:$AC$104))))</f>
        <v>0</v>
      </c>
      <c r="C57" s="142" cm="1">
        <f t="array" ref="C57">IF(ISERROR(_xlfn.XLOOKUP(C$5,'QB_Funds Analysis raw'!$B$5:$AC$5, _xlfn.XLOOKUP($A57,'QB_Funds Analysis raw'!$A$6:$A$104,'QB_Funds Analysis raw'!$B$6:$AC$104))),0,(_xlfn.XLOOKUP(C$5,'QB_Funds Analysis raw'!$B$5:$AC$5, _xlfn.XLOOKUP($A57,'QB_Funds Analysis raw'!$A$6:$A$104,'QB_Funds Analysis raw'!$B$6:$AC$104))))</f>
        <v>0</v>
      </c>
      <c r="D57" s="252" cm="1">
        <f t="array" ref="D57">IF(ISERROR(_xlfn.XLOOKUP(D$5,'QB_Funds Analysis raw'!$B$5:$AC$5, _xlfn.XLOOKUP($A57,'QB_Funds Analysis raw'!$A$6:$A$104,'QB_Funds Analysis raw'!$B$6:$AC$104))),0,(_xlfn.XLOOKUP(D$5,'QB_Funds Analysis raw'!$B$5:$AC$5, _xlfn.XLOOKUP($A57,'QB_Funds Analysis raw'!$A$6:$A$104,'QB_Funds Analysis raw'!$B$6:$AC$104))))</f>
        <v>0</v>
      </c>
      <c r="E57" s="142" cm="1">
        <f t="array" ref="E57">IF(ISERROR(_xlfn.XLOOKUP(E$5,'QB_Funds Analysis raw'!$B$5:$AC$5, _xlfn.XLOOKUP($A57,'QB_Funds Analysis raw'!$A$6:$A$104,'QB_Funds Analysis raw'!$B$6:$AC$104))),0,(_xlfn.XLOOKUP(E$5,'QB_Funds Analysis raw'!$B$5:$AC$5, _xlfn.XLOOKUP($A57,'QB_Funds Analysis raw'!$A$6:$A$104,'QB_Funds Analysis raw'!$B$6:$AC$104))))</f>
        <v>0</v>
      </c>
      <c r="F57" s="142" cm="1">
        <f t="array" ref="F57">IF(ISERROR(_xlfn.XLOOKUP(F$5,'QB_Funds Analysis raw'!$B$5:$AC$5, _xlfn.XLOOKUP($A57,'QB_Funds Analysis raw'!$A$6:$A$104,'QB_Funds Analysis raw'!$B$6:$AC$104))),0,(_xlfn.XLOOKUP(F$5,'QB_Funds Analysis raw'!$B$5:$AC$5, _xlfn.XLOOKUP($A57,'QB_Funds Analysis raw'!$A$6:$A$104,'QB_Funds Analysis raw'!$B$6:$AC$104))))</f>
        <v>0</v>
      </c>
      <c r="G57" s="142" cm="1">
        <f t="array" ref="G57">IF(ISERROR(_xlfn.XLOOKUP(G$5,'QB_Funds Analysis raw'!$B$5:$AC$5, _xlfn.XLOOKUP($A57,'QB_Funds Analysis raw'!$A$6:$A$104,'QB_Funds Analysis raw'!$B$6:$AC$104))),0,(_xlfn.XLOOKUP(G$5,'QB_Funds Analysis raw'!$B$5:$AC$5, _xlfn.XLOOKUP($A57,'QB_Funds Analysis raw'!$A$6:$A$104,'QB_Funds Analysis raw'!$B$6:$AC$104))))</f>
        <v>0</v>
      </c>
      <c r="H57" s="142" cm="1">
        <f t="array" ref="H57">IF(ISERROR(_xlfn.XLOOKUP(H$5,'QB_Funds Analysis raw'!$B$5:$AC$5, _xlfn.XLOOKUP($A57,'QB_Funds Analysis raw'!$A$6:$A$104,'QB_Funds Analysis raw'!$B$6:$AC$104))),0,(_xlfn.XLOOKUP(H$5,'QB_Funds Analysis raw'!$B$5:$AC$5, _xlfn.XLOOKUP($A57,'QB_Funds Analysis raw'!$A$6:$A$104,'QB_Funds Analysis raw'!$B$6:$AC$104))))</f>
        <v>0</v>
      </c>
      <c r="I57" s="142" cm="1">
        <f t="array" ref="I57">IF(ISERROR(_xlfn.XLOOKUP(I$5,'QB_Funds Analysis raw'!$B$5:$AC$5, _xlfn.XLOOKUP($A57,'QB_Funds Analysis raw'!$A$6:$A$104,'QB_Funds Analysis raw'!$B$6:$AC$104))),0,(_xlfn.XLOOKUP(I$5,'QB_Funds Analysis raw'!$B$5:$AC$5, _xlfn.XLOOKUP($A57,'QB_Funds Analysis raw'!$A$6:$A$104,'QB_Funds Analysis raw'!$B$6:$AC$104))))</f>
        <v>0</v>
      </c>
      <c r="J57" s="142" cm="1">
        <f t="array" ref="J57">IF(ISERROR(_xlfn.XLOOKUP(J$5,'QB_Funds Analysis raw'!$B$5:$AC$5, _xlfn.XLOOKUP($A57,'QB_Funds Analysis raw'!$A$6:$A$104,'QB_Funds Analysis raw'!$B$6:$AC$104))),0,(_xlfn.XLOOKUP(J$5,'QB_Funds Analysis raw'!$B$5:$AC$5, _xlfn.XLOOKUP($A57,'QB_Funds Analysis raw'!$A$6:$A$104,'QB_Funds Analysis raw'!$B$6:$AC$104))))</f>
        <v>0</v>
      </c>
      <c r="K57" s="252" cm="1">
        <f t="array" ref="K57">IF(ISERROR(_xlfn.XLOOKUP(K$5,'QB_Funds Analysis raw'!$B$5:$AC$5, _xlfn.XLOOKUP($A57,'QB_Funds Analysis raw'!$A$6:$A$104,'QB_Funds Analysis raw'!$B$6:$AC$104))),0,(_xlfn.XLOOKUP(K$5,'QB_Funds Analysis raw'!$B$5:$AC$5, _xlfn.XLOOKUP($A57,'QB_Funds Analysis raw'!$A$6:$A$104,'QB_Funds Analysis raw'!$B$6:$AC$104))))</f>
        <v>0</v>
      </c>
      <c r="L57" s="142" cm="1">
        <f t="array" ref="L57">IF(ISERROR(_xlfn.XLOOKUP(L$5,'QB_Funds Analysis raw'!$B$5:$AC$5, _xlfn.XLOOKUP($A57,'QB_Funds Analysis raw'!$A$6:$A$104,'QB_Funds Analysis raw'!$B$6:$AC$104))),0,(_xlfn.XLOOKUP(L$5,'QB_Funds Analysis raw'!$B$5:$AC$5, _xlfn.XLOOKUP($A57,'QB_Funds Analysis raw'!$A$6:$A$104,'QB_Funds Analysis raw'!$B$6:$AC$104))))</f>
        <v>0</v>
      </c>
      <c r="M57" s="142" cm="1">
        <f t="array" ref="M57">IF(ISERROR(_xlfn.XLOOKUP(M$5,'QB_Funds Analysis raw'!$B$5:$AC$5, _xlfn.XLOOKUP($A57,'QB_Funds Analysis raw'!$A$6:$A$104,'QB_Funds Analysis raw'!$B$6:$AC$104))),0,(_xlfn.XLOOKUP(M$5,'QB_Funds Analysis raw'!$B$5:$AC$5, _xlfn.XLOOKUP($A57,'QB_Funds Analysis raw'!$A$6:$A$104,'QB_Funds Analysis raw'!$B$6:$AC$104))))</f>
        <v>0</v>
      </c>
      <c r="N57" s="252" cm="1">
        <f t="array" ref="N57">IF(ISERROR(_xlfn.XLOOKUP(N$5,'QB_Funds Analysis raw'!$B$5:$AC$5, _xlfn.XLOOKUP($A57,'QB_Funds Analysis raw'!$A$6:$A$104,'QB_Funds Analysis raw'!$B$6:$AC$104))),0,(_xlfn.XLOOKUP(N$5,'QB_Funds Analysis raw'!$B$5:$AC$5, _xlfn.XLOOKUP($A57,'QB_Funds Analysis raw'!$A$6:$A$104,'QB_Funds Analysis raw'!$B$6:$AC$104))))</f>
        <v>0</v>
      </c>
      <c r="O57" s="252" cm="1">
        <f t="array" ref="O57">IF(ISERROR(_xlfn.XLOOKUP(O$5,'QB_Funds Analysis raw'!$B$5:$AC$5, _xlfn.XLOOKUP($A57,'QB_Funds Analysis raw'!$A$6:$A$104,'QB_Funds Analysis raw'!$B$6:$AC$104))),0,(_xlfn.XLOOKUP(O$5,'QB_Funds Analysis raw'!$B$5:$AC$5, _xlfn.XLOOKUP($A57,'QB_Funds Analysis raw'!$A$6:$A$104,'QB_Funds Analysis raw'!$B$6:$AC$104))))</f>
        <v>0</v>
      </c>
      <c r="P57" s="142" cm="1">
        <f t="array" ref="P57">IF(ISERROR(_xlfn.XLOOKUP(P$5,'QB_Funds Analysis raw'!$B$5:$AC$5, _xlfn.XLOOKUP($A57,'QB_Funds Analysis raw'!$A$6:$A$104,'QB_Funds Analysis raw'!$B$6:$AC$104))),0,(_xlfn.XLOOKUP(P$5,'QB_Funds Analysis raw'!$B$5:$AC$5, _xlfn.XLOOKUP($A57,'QB_Funds Analysis raw'!$A$6:$A$104,'QB_Funds Analysis raw'!$B$6:$AC$104))))</f>
        <v>0</v>
      </c>
      <c r="Q57" s="247" cm="1">
        <f t="array" ref="Q57">IF(ISERROR(_xlfn.XLOOKUP(Q$5,'QB_Funds Analysis raw'!$B$5:$AC$5, _xlfn.XLOOKUP($A57,'QB_Funds Analysis raw'!$A$6:$A$104,'QB_Funds Analysis raw'!$B$6:$AC$104))),0,(_xlfn.XLOOKUP(Q$5,'QB_Funds Analysis raw'!$B$5:$AC$5, _xlfn.XLOOKUP($A57,'QB_Funds Analysis raw'!$A$6:$A$104,'QB_Funds Analysis raw'!$B$6:$AC$104))))</f>
        <v>0</v>
      </c>
      <c r="R57" s="142" cm="1">
        <f t="array" ref="R57">IF(ISERROR(_xlfn.XLOOKUP(R$5,'QB_Funds Analysis raw'!$B$5:$AC$5, _xlfn.XLOOKUP($A57,'QB_Funds Analysis raw'!$A$6:$A$104,'QB_Funds Analysis raw'!$B$6:$AC$104))),0,(_xlfn.XLOOKUP(R$5,'QB_Funds Analysis raw'!$B$5:$AC$5, _xlfn.XLOOKUP($A57,'QB_Funds Analysis raw'!$A$6:$A$104,'QB_Funds Analysis raw'!$B$6:$AC$104))))</f>
        <v>0</v>
      </c>
      <c r="S57" s="142" cm="1">
        <f t="array" ref="S57">IF(ISERROR(_xlfn.XLOOKUP(S$5,'QB_Funds Analysis raw'!$B$5:$AC$5, _xlfn.XLOOKUP($A57,'QB_Funds Analysis raw'!$A$6:$A$104,'QB_Funds Analysis raw'!$B$6:$AC$104))),0,(_xlfn.XLOOKUP(S$5,'QB_Funds Analysis raw'!$B$5:$AC$5, _xlfn.XLOOKUP($A57,'QB_Funds Analysis raw'!$A$6:$A$104,'QB_Funds Analysis raw'!$B$6:$AC$104))))</f>
        <v>0</v>
      </c>
      <c r="T57" s="142" cm="1">
        <f t="array" ref="T57">IF(ISERROR(_xlfn.XLOOKUP(T$5,'QB_Funds Analysis raw'!$B$5:$AC$5, _xlfn.XLOOKUP($A57,'QB_Funds Analysis raw'!$A$6:$A$104,'QB_Funds Analysis raw'!$B$6:$AC$104))),0,(_xlfn.XLOOKUP(T$5,'QB_Funds Analysis raw'!$B$5:$AC$5, _xlfn.XLOOKUP($A57,'QB_Funds Analysis raw'!$A$6:$A$104,'QB_Funds Analysis raw'!$B$6:$AC$104))))</f>
        <v>0</v>
      </c>
      <c r="U57" s="142" cm="1">
        <f t="array" ref="U57">IF(ISERROR(_xlfn.XLOOKUP(U$5,'QB_Funds Analysis raw'!$B$5:$AC$5, _xlfn.XLOOKUP($A57,'QB_Funds Analysis raw'!$A$6:$A$104,'QB_Funds Analysis raw'!$B$6:$AC$104))),0,(_xlfn.XLOOKUP(U$5,'QB_Funds Analysis raw'!$B$5:$AC$5, _xlfn.XLOOKUP($A57,'QB_Funds Analysis raw'!$A$6:$A$104,'QB_Funds Analysis raw'!$B$6:$AC$104))))</f>
        <v>0</v>
      </c>
      <c r="V57" s="142" cm="1">
        <f t="array" ref="V57">IF(ISERROR(_xlfn.XLOOKUP(V$5,'QB_Funds Analysis raw'!$B$5:$AC$5, _xlfn.XLOOKUP($A57,'QB_Funds Analysis raw'!$A$6:$A$104,'QB_Funds Analysis raw'!$B$6:$AC$104))),0,(_xlfn.XLOOKUP(V$5,'QB_Funds Analysis raw'!$B$5:$AC$5, _xlfn.XLOOKUP($A57,'QB_Funds Analysis raw'!$A$6:$A$104,'QB_Funds Analysis raw'!$B$6:$AC$104))))</f>
        <v>0</v>
      </c>
      <c r="W57" s="142" cm="1">
        <f t="array" ref="W57">IF(ISERROR(_xlfn.XLOOKUP(W$5,'QB_Funds Analysis raw'!$B$5:$AC$5, _xlfn.XLOOKUP($A57,'QB_Funds Analysis raw'!$A$6:$A$104,'QB_Funds Analysis raw'!$B$6:$AC$104))),0,(_xlfn.XLOOKUP(W$5,'QB_Funds Analysis raw'!$B$5:$AC$5, _xlfn.XLOOKUP($A57,'QB_Funds Analysis raw'!$A$6:$A$104,'QB_Funds Analysis raw'!$B$6:$AC$104))))</f>
        <v>0</v>
      </c>
      <c r="X57" s="142" cm="1">
        <f t="array" ref="X57">IF(ISERROR(_xlfn.XLOOKUP(X$5,'QB_Funds Analysis raw'!$B$5:$AC$5, _xlfn.XLOOKUP($A57,'QB_Funds Analysis raw'!$A$6:$A$104,'QB_Funds Analysis raw'!$B$6:$AC$104))),0,(_xlfn.XLOOKUP(X$5,'QB_Funds Analysis raw'!$B$5:$AC$5, _xlfn.XLOOKUP($A57,'QB_Funds Analysis raw'!$A$6:$A$104,'QB_Funds Analysis raw'!$B$6:$AC$104))))</f>
        <v>0</v>
      </c>
      <c r="Y57" s="142" cm="1">
        <f t="array" ref="Y57">IF(ISERROR(_xlfn.XLOOKUP(Y$5,'QB_Funds Analysis raw'!$B$5:$AC$5, _xlfn.XLOOKUP($A57,'QB_Funds Analysis raw'!$A$6:$A$104,'QB_Funds Analysis raw'!$B$6:$AC$104))),0,(_xlfn.XLOOKUP(Y$5,'QB_Funds Analysis raw'!$B$5:$AC$5, _xlfn.XLOOKUP($A57,'QB_Funds Analysis raw'!$A$6:$A$104,'QB_Funds Analysis raw'!$B$6:$AC$104))))</f>
        <v>0</v>
      </c>
      <c r="Z57" s="142" cm="1">
        <f t="array" ref="Z57">IF(ISERROR(_xlfn.XLOOKUP(Z$5,'QB_Funds Analysis raw'!$B$5:$AC$5, _xlfn.XLOOKUP($A57,'QB_Funds Analysis raw'!$A$6:$A$104,'QB_Funds Analysis raw'!$B$6:$AC$104))),0,(_xlfn.XLOOKUP(Z$5,'QB_Funds Analysis raw'!$B$5:$AC$5, _xlfn.XLOOKUP($A57,'QB_Funds Analysis raw'!$A$6:$A$104,'QB_Funds Analysis raw'!$B$6:$AC$104))))</f>
        <v>0</v>
      </c>
      <c r="AA57" s="142" cm="1">
        <f t="array" ref="AA57">IF(ISERROR(_xlfn.XLOOKUP(AA$5,'QB_Funds Analysis raw'!$B$5:$AC$5, _xlfn.XLOOKUP($A57,'QB_Funds Analysis raw'!$A$6:$A$104,'QB_Funds Analysis raw'!$B$6:$AC$104))),0,(_xlfn.XLOOKUP(AA$5,'QB_Funds Analysis raw'!$B$5:$AC$5, _xlfn.XLOOKUP($A57,'QB_Funds Analysis raw'!$A$6:$A$104,'QB_Funds Analysis raw'!$B$6:$AC$104))))</f>
        <v>0</v>
      </c>
      <c r="AB57" s="142" cm="1">
        <f t="array" ref="AB57">IF(ISERROR(_xlfn.XLOOKUP(AB$5,'QB_Funds Analysis raw'!$B$5:$AC$5, _xlfn.XLOOKUP($A57,'QB_Funds Analysis raw'!$A$6:$A$104,'QB_Funds Analysis raw'!$B$6:$AC$104))),0,(_xlfn.XLOOKUP(AB$5,'QB_Funds Analysis raw'!$B$5:$AC$5, _xlfn.XLOOKUP($A57,'QB_Funds Analysis raw'!$A$6:$A$104,'QB_Funds Analysis raw'!$B$6:$AC$104))))</f>
        <v>1470.26</v>
      </c>
      <c r="AC57" s="142" cm="1">
        <f t="array" ref="AC57">IF(ISERROR(_xlfn.XLOOKUP(AC$5,'QB_Funds Analysis raw'!$B$5:$AC$5, _xlfn.XLOOKUP($A57,'QB_Funds Analysis raw'!$A$6:$A$104,'QB_Funds Analysis raw'!$B$6:$AC$104))),0,(_xlfn.XLOOKUP(AC$5,'QB_Funds Analysis raw'!$B$5:$AC$5, _xlfn.XLOOKUP($A57,'QB_Funds Analysis raw'!$A$6:$A$104,'QB_Funds Analysis raw'!$B$6:$AC$104))))</f>
        <v>1470.26</v>
      </c>
      <c r="AD57" s="167">
        <f t="shared" si="13"/>
        <v>1470.26</v>
      </c>
      <c r="AE57" s="167">
        <f t="shared" si="4"/>
        <v>0</v>
      </c>
    </row>
    <row r="58" spans="1:31" ht="20.25" customHeight="1" x14ac:dyDescent="0.25">
      <c r="A58" s="2" t="s">
        <v>420</v>
      </c>
      <c r="B58" s="142" cm="1">
        <f t="array" ref="B58">IF(ISERROR(_xlfn.XLOOKUP(B$5,'QB_Funds Analysis raw'!$B$5:$AC$5, _xlfn.XLOOKUP($A58,'QB_Funds Analysis raw'!$A$6:$A$104,'QB_Funds Analysis raw'!$B$6:$AC$104))),0,(_xlfn.XLOOKUP(B$5,'QB_Funds Analysis raw'!$B$5:$AC$5, _xlfn.XLOOKUP($A58,'QB_Funds Analysis raw'!$A$6:$A$104,'QB_Funds Analysis raw'!$B$6:$AC$104))))</f>
        <v>0</v>
      </c>
      <c r="C58" s="142" cm="1">
        <f t="array" ref="C58">IF(ISERROR(_xlfn.XLOOKUP(C$5,'QB_Funds Analysis raw'!$B$5:$AC$5, _xlfn.XLOOKUP($A58,'QB_Funds Analysis raw'!$A$6:$A$104,'QB_Funds Analysis raw'!$B$6:$AC$104))),0,(_xlfn.XLOOKUP(C$5,'QB_Funds Analysis raw'!$B$5:$AC$5, _xlfn.XLOOKUP($A58,'QB_Funds Analysis raw'!$A$6:$A$104,'QB_Funds Analysis raw'!$B$6:$AC$104))))</f>
        <v>0</v>
      </c>
      <c r="D58" s="252" cm="1">
        <f t="array" ref="D58">IF(ISERROR(_xlfn.XLOOKUP(D$5,'QB_Funds Analysis raw'!$B$5:$AC$5, _xlfn.XLOOKUP($A58,'QB_Funds Analysis raw'!$A$6:$A$104,'QB_Funds Analysis raw'!$B$6:$AC$104))),0,(_xlfn.XLOOKUP(D$5,'QB_Funds Analysis raw'!$B$5:$AC$5, _xlfn.XLOOKUP($A58,'QB_Funds Analysis raw'!$A$6:$A$104,'QB_Funds Analysis raw'!$B$6:$AC$104))))</f>
        <v>0</v>
      </c>
      <c r="E58" s="142" cm="1">
        <f t="array" ref="E58">IF(ISERROR(_xlfn.XLOOKUP(E$5,'QB_Funds Analysis raw'!$B$5:$AC$5, _xlfn.XLOOKUP($A58,'QB_Funds Analysis raw'!$A$6:$A$104,'QB_Funds Analysis raw'!$B$6:$AC$104))),0,(_xlfn.XLOOKUP(E$5,'QB_Funds Analysis raw'!$B$5:$AC$5, _xlfn.XLOOKUP($A58,'QB_Funds Analysis raw'!$A$6:$A$104,'QB_Funds Analysis raw'!$B$6:$AC$104))))</f>
        <v>0</v>
      </c>
      <c r="F58" s="142" cm="1">
        <f t="array" ref="F58">IF(ISERROR(_xlfn.XLOOKUP(F$5,'QB_Funds Analysis raw'!$B$5:$AC$5, _xlfn.XLOOKUP($A58,'QB_Funds Analysis raw'!$A$6:$A$104,'QB_Funds Analysis raw'!$B$6:$AC$104))),0,(_xlfn.XLOOKUP(F$5,'QB_Funds Analysis raw'!$B$5:$AC$5, _xlfn.XLOOKUP($A58,'QB_Funds Analysis raw'!$A$6:$A$104,'QB_Funds Analysis raw'!$B$6:$AC$104))))</f>
        <v>0</v>
      </c>
      <c r="G58" s="142" cm="1">
        <f t="array" ref="G58">IF(ISERROR(_xlfn.XLOOKUP(G$5,'QB_Funds Analysis raw'!$B$5:$AC$5, _xlfn.XLOOKUP($A58,'QB_Funds Analysis raw'!$A$6:$A$104,'QB_Funds Analysis raw'!$B$6:$AC$104))),0,(_xlfn.XLOOKUP(G$5,'QB_Funds Analysis raw'!$B$5:$AC$5, _xlfn.XLOOKUP($A58,'QB_Funds Analysis raw'!$A$6:$A$104,'QB_Funds Analysis raw'!$B$6:$AC$104))))</f>
        <v>0</v>
      </c>
      <c r="H58" s="142" cm="1">
        <f t="array" ref="H58">IF(ISERROR(_xlfn.XLOOKUP(H$5,'QB_Funds Analysis raw'!$B$5:$AC$5, _xlfn.XLOOKUP($A58,'QB_Funds Analysis raw'!$A$6:$A$104,'QB_Funds Analysis raw'!$B$6:$AC$104))),0,(_xlfn.XLOOKUP(H$5,'QB_Funds Analysis raw'!$B$5:$AC$5, _xlfn.XLOOKUP($A58,'QB_Funds Analysis raw'!$A$6:$A$104,'QB_Funds Analysis raw'!$B$6:$AC$104))))</f>
        <v>0</v>
      </c>
      <c r="I58" s="142" cm="1">
        <f t="array" ref="I58">IF(ISERROR(_xlfn.XLOOKUP(I$5,'QB_Funds Analysis raw'!$B$5:$AC$5, _xlfn.XLOOKUP($A58,'QB_Funds Analysis raw'!$A$6:$A$104,'QB_Funds Analysis raw'!$B$6:$AC$104))),0,(_xlfn.XLOOKUP(I$5,'QB_Funds Analysis raw'!$B$5:$AC$5, _xlfn.XLOOKUP($A58,'QB_Funds Analysis raw'!$A$6:$A$104,'QB_Funds Analysis raw'!$B$6:$AC$104))))</f>
        <v>0</v>
      </c>
      <c r="J58" s="142" cm="1">
        <f t="array" ref="J58">IF(ISERROR(_xlfn.XLOOKUP(J$5,'QB_Funds Analysis raw'!$B$5:$AC$5, _xlfn.XLOOKUP($A58,'QB_Funds Analysis raw'!$A$6:$A$104,'QB_Funds Analysis raw'!$B$6:$AC$104))),0,(_xlfn.XLOOKUP(J$5,'QB_Funds Analysis raw'!$B$5:$AC$5, _xlfn.XLOOKUP($A58,'QB_Funds Analysis raw'!$A$6:$A$104,'QB_Funds Analysis raw'!$B$6:$AC$104))))</f>
        <v>0</v>
      </c>
      <c r="K58" s="252" cm="1">
        <f t="array" ref="K58">IF(ISERROR(_xlfn.XLOOKUP(K$5,'QB_Funds Analysis raw'!$B$5:$AC$5, _xlfn.XLOOKUP($A58,'QB_Funds Analysis raw'!$A$6:$A$104,'QB_Funds Analysis raw'!$B$6:$AC$104))),0,(_xlfn.XLOOKUP(K$5,'QB_Funds Analysis raw'!$B$5:$AC$5, _xlfn.XLOOKUP($A58,'QB_Funds Analysis raw'!$A$6:$A$104,'QB_Funds Analysis raw'!$B$6:$AC$104))))</f>
        <v>0</v>
      </c>
      <c r="L58" s="142" cm="1">
        <f t="array" ref="L58">IF(ISERROR(_xlfn.XLOOKUP(L$5,'QB_Funds Analysis raw'!$B$5:$AC$5, _xlfn.XLOOKUP($A58,'QB_Funds Analysis raw'!$A$6:$A$104,'QB_Funds Analysis raw'!$B$6:$AC$104))),0,(_xlfn.XLOOKUP(L$5,'QB_Funds Analysis raw'!$B$5:$AC$5, _xlfn.XLOOKUP($A58,'QB_Funds Analysis raw'!$A$6:$A$104,'QB_Funds Analysis raw'!$B$6:$AC$104))))</f>
        <v>0</v>
      </c>
      <c r="M58" s="142" cm="1">
        <f t="array" ref="M58">IF(ISERROR(_xlfn.XLOOKUP(M$5,'QB_Funds Analysis raw'!$B$5:$AC$5, _xlfn.XLOOKUP($A58,'QB_Funds Analysis raw'!$A$6:$A$104,'QB_Funds Analysis raw'!$B$6:$AC$104))),0,(_xlfn.XLOOKUP(M$5,'QB_Funds Analysis raw'!$B$5:$AC$5, _xlfn.XLOOKUP($A58,'QB_Funds Analysis raw'!$A$6:$A$104,'QB_Funds Analysis raw'!$B$6:$AC$104))))</f>
        <v>0</v>
      </c>
      <c r="N58" s="252" cm="1">
        <f t="array" ref="N58">IF(ISERROR(_xlfn.XLOOKUP(N$5,'QB_Funds Analysis raw'!$B$5:$AC$5, _xlfn.XLOOKUP($A58,'QB_Funds Analysis raw'!$A$6:$A$104,'QB_Funds Analysis raw'!$B$6:$AC$104))),0,(_xlfn.XLOOKUP(N$5,'QB_Funds Analysis raw'!$B$5:$AC$5, _xlfn.XLOOKUP($A58,'QB_Funds Analysis raw'!$A$6:$A$104,'QB_Funds Analysis raw'!$B$6:$AC$104))))</f>
        <v>0</v>
      </c>
      <c r="O58" s="252" cm="1">
        <f t="array" ref="O58">IF(ISERROR(_xlfn.XLOOKUP(O$5,'QB_Funds Analysis raw'!$B$5:$AC$5, _xlfn.XLOOKUP($A58,'QB_Funds Analysis raw'!$A$6:$A$104,'QB_Funds Analysis raw'!$B$6:$AC$104))),0,(_xlfn.XLOOKUP(O$5,'QB_Funds Analysis raw'!$B$5:$AC$5, _xlfn.XLOOKUP($A58,'QB_Funds Analysis raw'!$A$6:$A$104,'QB_Funds Analysis raw'!$B$6:$AC$104))))</f>
        <v>0</v>
      </c>
      <c r="P58" s="142" cm="1">
        <f t="array" ref="P58">IF(ISERROR(_xlfn.XLOOKUP(P$5,'QB_Funds Analysis raw'!$B$5:$AC$5, _xlfn.XLOOKUP($A58,'QB_Funds Analysis raw'!$A$6:$A$104,'QB_Funds Analysis raw'!$B$6:$AC$104))),0,(_xlfn.XLOOKUP(P$5,'QB_Funds Analysis raw'!$B$5:$AC$5, _xlfn.XLOOKUP($A58,'QB_Funds Analysis raw'!$A$6:$A$104,'QB_Funds Analysis raw'!$B$6:$AC$104))))</f>
        <v>0</v>
      </c>
      <c r="Q58" s="247" cm="1">
        <f t="array" ref="Q58">IF(ISERROR(_xlfn.XLOOKUP(Q$5,'QB_Funds Analysis raw'!$B$5:$AC$5, _xlfn.XLOOKUP($A58,'QB_Funds Analysis raw'!$A$6:$A$104,'QB_Funds Analysis raw'!$B$6:$AC$104))),0,(_xlfn.XLOOKUP(Q$5,'QB_Funds Analysis raw'!$B$5:$AC$5, _xlfn.XLOOKUP($A58,'QB_Funds Analysis raw'!$A$6:$A$104,'QB_Funds Analysis raw'!$B$6:$AC$104))))</f>
        <v>0</v>
      </c>
      <c r="R58" s="142" cm="1">
        <f t="array" ref="R58">IF(ISERROR(_xlfn.XLOOKUP(R$5,'QB_Funds Analysis raw'!$B$5:$AC$5, _xlfn.XLOOKUP($A58,'QB_Funds Analysis raw'!$A$6:$A$104,'QB_Funds Analysis raw'!$B$6:$AC$104))),0,(_xlfn.XLOOKUP(R$5,'QB_Funds Analysis raw'!$B$5:$AC$5, _xlfn.XLOOKUP($A58,'QB_Funds Analysis raw'!$A$6:$A$104,'QB_Funds Analysis raw'!$B$6:$AC$104))))</f>
        <v>0</v>
      </c>
      <c r="S58" s="142" cm="1">
        <f t="array" ref="S58">IF(ISERROR(_xlfn.XLOOKUP(S$5,'QB_Funds Analysis raw'!$B$5:$AC$5, _xlfn.XLOOKUP($A58,'QB_Funds Analysis raw'!$A$6:$A$104,'QB_Funds Analysis raw'!$B$6:$AC$104))),0,(_xlfn.XLOOKUP(S$5,'QB_Funds Analysis raw'!$B$5:$AC$5, _xlfn.XLOOKUP($A58,'QB_Funds Analysis raw'!$A$6:$A$104,'QB_Funds Analysis raw'!$B$6:$AC$104))))</f>
        <v>0</v>
      </c>
      <c r="T58" s="142" cm="1">
        <f t="array" ref="T58">IF(ISERROR(_xlfn.XLOOKUP(T$5,'QB_Funds Analysis raw'!$B$5:$AC$5, _xlfn.XLOOKUP($A58,'QB_Funds Analysis raw'!$A$6:$A$104,'QB_Funds Analysis raw'!$B$6:$AC$104))),0,(_xlfn.XLOOKUP(T$5,'QB_Funds Analysis raw'!$B$5:$AC$5, _xlfn.XLOOKUP($A58,'QB_Funds Analysis raw'!$A$6:$A$104,'QB_Funds Analysis raw'!$B$6:$AC$104))))</f>
        <v>0</v>
      </c>
      <c r="U58" s="142" cm="1">
        <f t="array" ref="U58">IF(ISERROR(_xlfn.XLOOKUP(U$5,'QB_Funds Analysis raw'!$B$5:$AC$5, _xlfn.XLOOKUP($A58,'QB_Funds Analysis raw'!$A$6:$A$104,'QB_Funds Analysis raw'!$B$6:$AC$104))),0,(_xlfn.XLOOKUP(U$5,'QB_Funds Analysis raw'!$B$5:$AC$5, _xlfn.XLOOKUP($A58,'QB_Funds Analysis raw'!$A$6:$A$104,'QB_Funds Analysis raw'!$B$6:$AC$104))))</f>
        <v>0</v>
      </c>
      <c r="V58" s="142" cm="1">
        <f t="array" ref="V58">IF(ISERROR(_xlfn.XLOOKUP(V$5,'QB_Funds Analysis raw'!$B$5:$AC$5, _xlfn.XLOOKUP($A58,'QB_Funds Analysis raw'!$A$6:$A$104,'QB_Funds Analysis raw'!$B$6:$AC$104))),0,(_xlfn.XLOOKUP(V$5,'QB_Funds Analysis raw'!$B$5:$AC$5, _xlfn.XLOOKUP($A58,'QB_Funds Analysis raw'!$A$6:$A$104,'QB_Funds Analysis raw'!$B$6:$AC$104))))</f>
        <v>0</v>
      </c>
      <c r="W58" s="142" cm="1">
        <f t="array" ref="W58">IF(ISERROR(_xlfn.XLOOKUP(W$5,'QB_Funds Analysis raw'!$B$5:$AC$5, _xlfn.XLOOKUP($A58,'QB_Funds Analysis raw'!$A$6:$A$104,'QB_Funds Analysis raw'!$B$6:$AC$104))),0,(_xlfn.XLOOKUP(W$5,'QB_Funds Analysis raw'!$B$5:$AC$5, _xlfn.XLOOKUP($A58,'QB_Funds Analysis raw'!$A$6:$A$104,'QB_Funds Analysis raw'!$B$6:$AC$104))))</f>
        <v>0</v>
      </c>
      <c r="X58" s="142" cm="1">
        <f t="array" ref="X58">IF(ISERROR(_xlfn.XLOOKUP(X$5,'QB_Funds Analysis raw'!$B$5:$AC$5, _xlfn.XLOOKUP($A58,'QB_Funds Analysis raw'!$A$6:$A$104,'QB_Funds Analysis raw'!$B$6:$AC$104))),0,(_xlfn.XLOOKUP(X$5,'QB_Funds Analysis raw'!$B$5:$AC$5, _xlfn.XLOOKUP($A58,'QB_Funds Analysis raw'!$A$6:$A$104,'QB_Funds Analysis raw'!$B$6:$AC$104))))</f>
        <v>0</v>
      </c>
      <c r="Y58" s="142" cm="1">
        <f t="array" ref="Y58">IF(ISERROR(_xlfn.XLOOKUP(Y$5,'QB_Funds Analysis raw'!$B$5:$AC$5, _xlfn.XLOOKUP($A58,'QB_Funds Analysis raw'!$A$6:$A$104,'QB_Funds Analysis raw'!$B$6:$AC$104))),0,(_xlfn.XLOOKUP(Y$5,'QB_Funds Analysis raw'!$B$5:$AC$5, _xlfn.XLOOKUP($A58,'QB_Funds Analysis raw'!$A$6:$A$104,'QB_Funds Analysis raw'!$B$6:$AC$104))))</f>
        <v>0</v>
      </c>
      <c r="Z58" s="142" cm="1">
        <f t="array" ref="Z58">IF(ISERROR(_xlfn.XLOOKUP(Z$5,'QB_Funds Analysis raw'!$B$5:$AC$5, _xlfn.XLOOKUP($A58,'QB_Funds Analysis raw'!$A$6:$A$104,'QB_Funds Analysis raw'!$B$6:$AC$104))),0,(_xlfn.XLOOKUP(Z$5,'QB_Funds Analysis raw'!$B$5:$AC$5, _xlfn.XLOOKUP($A58,'QB_Funds Analysis raw'!$A$6:$A$104,'QB_Funds Analysis raw'!$B$6:$AC$104))))</f>
        <v>0</v>
      </c>
      <c r="AA58" s="142" cm="1">
        <f t="array" ref="AA58">IF(ISERROR(_xlfn.XLOOKUP(AA$5,'QB_Funds Analysis raw'!$B$5:$AC$5, _xlfn.XLOOKUP($A58,'QB_Funds Analysis raw'!$A$6:$A$104,'QB_Funds Analysis raw'!$B$6:$AC$104))),0,(_xlfn.XLOOKUP(AA$5,'QB_Funds Analysis raw'!$B$5:$AC$5, _xlfn.XLOOKUP($A58,'QB_Funds Analysis raw'!$A$6:$A$104,'QB_Funds Analysis raw'!$B$6:$AC$104))))</f>
        <v>0</v>
      </c>
      <c r="AB58" s="142" cm="1">
        <f t="array" ref="AB58">IF(ISERROR(_xlfn.XLOOKUP(AB$5,'QB_Funds Analysis raw'!$B$5:$AC$5, _xlfn.XLOOKUP($A58,'QB_Funds Analysis raw'!$A$6:$A$104,'QB_Funds Analysis raw'!$B$6:$AC$104))),0,(_xlfn.XLOOKUP(AB$5,'QB_Funds Analysis raw'!$B$5:$AC$5, _xlfn.XLOOKUP($A58,'QB_Funds Analysis raw'!$A$6:$A$104,'QB_Funds Analysis raw'!$B$6:$AC$104))))</f>
        <v>5500</v>
      </c>
      <c r="AC58" s="142" cm="1">
        <f t="array" ref="AC58">IF(ISERROR(_xlfn.XLOOKUP(AC$5,'QB_Funds Analysis raw'!$B$5:$AC$5, _xlfn.XLOOKUP($A58,'QB_Funds Analysis raw'!$A$6:$A$104,'QB_Funds Analysis raw'!$B$6:$AC$104))),0,(_xlfn.XLOOKUP(AC$5,'QB_Funds Analysis raw'!$B$5:$AC$5, _xlfn.XLOOKUP($A58,'QB_Funds Analysis raw'!$A$6:$A$104,'QB_Funds Analysis raw'!$B$6:$AC$104))))</f>
        <v>5500</v>
      </c>
      <c r="AD58" s="167">
        <f t="shared" si="13"/>
        <v>5500</v>
      </c>
      <c r="AE58" s="167">
        <f t="shared" si="4"/>
        <v>0</v>
      </c>
    </row>
    <row r="59" spans="1:31" ht="20.25" customHeight="1" x14ac:dyDescent="0.25">
      <c r="A59" s="2" t="s">
        <v>61</v>
      </c>
      <c r="B59" s="142" cm="1">
        <f t="array" ref="B59">IF(ISERROR(_xlfn.XLOOKUP(B$5,'QB_Funds Analysis raw'!$B$5:$AC$5, _xlfn.XLOOKUP($A59,'QB_Funds Analysis raw'!$A$6:$A$104,'QB_Funds Analysis raw'!$B$6:$AC$104))),0,(_xlfn.XLOOKUP(B$5,'QB_Funds Analysis raw'!$B$5:$AC$5, _xlfn.XLOOKUP($A59,'QB_Funds Analysis raw'!$A$6:$A$104,'QB_Funds Analysis raw'!$B$6:$AC$104))))</f>
        <v>0</v>
      </c>
      <c r="C59" s="142" cm="1">
        <f t="array" ref="C59">IF(ISERROR(_xlfn.XLOOKUP(C$5,'QB_Funds Analysis raw'!$B$5:$AC$5, _xlfn.XLOOKUP($A59,'QB_Funds Analysis raw'!$A$6:$A$104,'QB_Funds Analysis raw'!$B$6:$AC$104))),0,(_xlfn.XLOOKUP(C$5,'QB_Funds Analysis raw'!$B$5:$AC$5, _xlfn.XLOOKUP($A59,'QB_Funds Analysis raw'!$A$6:$A$104,'QB_Funds Analysis raw'!$B$6:$AC$104))))</f>
        <v>0</v>
      </c>
      <c r="D59" s="252" cm="1">
        <f t="array" ref="D59">IF(ISERROR(_xlfn.XLOOKUP(D$5,'QB_Funds Analysis raw'!$B$5:$AC$5, _xlfn.XLOOKUP($A59,'QB_Funds Analysis raw'!$A$6:$A$104,'QB_Funds Analysis raw'!$B$6:$AC$104))),0,(_xlfn.XLOOKUP(D$5,'QB_Funds Analysis raw'!$B$5:$AC$5, _xlfn.XLOOKUP($A59,'QB_Funds Analysis raw'!$A$6:$A$104,'QB_Funds Analysis raw'!$B$6:$AC$104))))</f>
        <v>0</v>
      </c>
      <c r="E59" s="142" cm="1">
        <f t="array" ref="E59">IF(ISERROR(_xlfn.XLOOKUP(E$5,'QB_Funds Analysis raw'!$B$5:$AC$5, _xlfn.XLOOKUP($A59,'QB_Funds Analysis raw'!$A$6:$A$104,'QB_Funds Analysis raw'!$B$6:$AC$104))),0,(_xlfn.XLOOKUP(E$5,'QB_Funds Analysis raw'!$B$5:$AC$5, _xlfn.XLOOKUP($A59,'QB_Funds Analysis raw'!$A$6:$A$104,'QB_Funds Analysis raw'!$B$6:$AC$104))))</f>
        <v>0</v>
      </c>
      <c r="F59" s="142" cm="1">
        <f t="array" ref="F59">IF(ISERROR(_xlfn.XLOOKUP(F$5,'QB_Funds Analysis raw'!$B$5:$AC$5, _xlfn.XLOOKUP($A59,'QB_Funds Analysis raw'!$A$6:$A$104,'QB_Funds Analysis raw'!$B$6:$AC$104))),0,(_xlfn.XLOOKUP(F$5,'QB_Funds Analysis raw'!$B$5:$AC$5, _xlfn.XLOOKUP($A59,'QB_Funds Analysis raw'!$A$6:$A$104,'QB_Funds Analysis raw'!$B$6:$AC$104))))</f>
        <v>0</v>
      </c>
      <c r="G59" s="142" cm="1">
        <f t="array" ref="G59">IF(ISERROR(_xlfn.XLOOKUP(G$5,'QB_Funds Analysis raw'!$B$5:$AC$5, _xlfn.XLOOKUP($A59,'QB_Funds Analysis raw'!$A$6:$A$104,'QB_Funds Analysis raw'!$B$6:$AC$104))),0,(_xlfn.XLOOKUP(G$5,'QB_Funds Analysis raw'!$B$5:$AC$5, _xlfn.XLOOKUP($A59,'QB_Funds Analysis raw'!$A$6:$A$104,'QB_Funds Analysis raw'!$B$6:$AC$104))))</f>
        <v>0</v>
      </c>
      <c r="H59" s="142" cm="1">
        <f t="array" ref="H59">IF(ISERROR(_xlfn.XLOOKUP(H$5,'QB_Funds Analysis raw'!$B$5:$AC$5, _xlfn.XLOOKUP($A59,'QB_Funds Analysis raw'!$A$6:$A$104,'QB_Funds Analysis raw'!$B$6:$AC$104))),0,(_xlfn.XLOOKUP(H$5,'QB_Funds Analysis raw'!$B$5:$AC$5, _xlfn.XLOOKUP($A59,'QB_Funds Analysis raw'!$A$6:$A$104,'QB_Funds Analysis raw'!$B$6:$AC$104))))</f>
        <v>0</v>
      </c>
      <c r="I59" s="142" cm="1">
        <f t="array" ref="I59">IF(ISERROR(_xlfn.XLOOKUP(I$5,'QB_Funds Analysis raw'!$B$5:$AC$5, _xlfn.XLOOKUP($A59,'QB_Funds Analysis raw'!$A$6:$A$104,'QB_Funds Analysis raw'!$B$6:$AC$104))),0,(_xlfn.XLOOKUP(I$5,'QB_Funds Analysis raw'!$B$5:$AC$5, _xlfn.XLOOKUP($A59,'QB_Funds Analysis raw'!$A$6:$A$104,'QB_Funds Analysis raw'!$B$6:$AC$104))))</f>
        <v>0</v>
      </c>
      <c r="J59" s="142" cm="1">
        <f t="array" ref="J59">IF(ISERROR(_xlfn.XLOOKUP(J$5,'QB_Funds Analysis raw'!$B$5:$AC$5, _xlfn.XLOOKUP($A59,'QB_Funds Analysis raw'!$A$6:$A$104,'QB_Funds Analysis raw'!$B$6:$AC$104))),0,(_xlfn.XLOOKUP(J$5,'QB_Funds Analysis raw'!$B$5:$AC$5, _xlfn.XLOOKUP($A59,'QB_Funds Analysis raw'!$A$6:$A$104,'QB_Funds Analysis raw'!$B$6:$AC$104))))</f>
        <v>0</v>
      </c>
      <c r="K59" s="252" cm="1">
        <f t="array" ref="K59">IF(ISERROR(_xlfn.XLOOKUP(K$5,'QB_Funds Analysis raw'!$B$5:$AC$5, _xlfn.XLOOKUP($A59,'QB_Funds Analysis raw'!$A$6:$A$104,'QB_Funds Analysis raw'!$B$6:$AC$104))),0,(_xlfn.XLOOKUP(K$5,'QB_Funds Analysis raw'!$B$5:$AC$5, _xlfn.XLOOKUP($A59,'QB_Funds Analysis raw'!$A$6:$A$104,'QB_Funds Analysis raw'!$B$6:$AC$104))))</f>
        <v>0</v>
      </c>
      <c r="L59" s="142" cm="1">
        <f t="array" ref="L59">IF(ISERROR(_xlfn.XLOOKUP(L$5,'QB_Funds Analysis raw'!$B$5:$AC$5, _xlfn.XLOOKUP($A59,'QB_Funds Analysis raw'!$A$6:$A$104,'QB_Funds Analysis raw'!$B$6:$AC$104))),0,(_xlfn.XLOOKUP(L$5,'QB_Funds Analysis raw'!$B$5:$AC$5, _xlfn.XLOOKUP($A59,'QB_Funds Analysis raw'!$A$6:$A$104,'QB_Funds Analysis raw'!$B$6:$AC$104))))</f>
        <v>0</v>
      </c>
      <c r="M59" s="142" cm="1">
        <f t="array" ref="M59">IF(ISERROR(_xlfn.XLOOKUP(M$5,'QB_Funds Analysis raw'!$B$5:$AC$5, _xlfn.XLOOKUP($A59,'QB_Funds Analysis raw'!$A$6:$A$104,'QB_Funds Analysis raw'!$B$6:$AC$104))),0,(_xlfn.XLOOKUP(M$5,'QB_Funds Analysis raw'!$B$5:$AC$5, _xlfn.XLOOKUP($A59,'QB_Funds Analysis raw'!$A$6:$A$104,'QB_Funds Analysis raw'!$B$6:$AC$104))))</f>
        <v>0</v>
      </c>
      <c r="N59" s="252" cm="1">
        <f t="array" ref="N59">IF(ISERROR(_xlfn.XLOOKUP(N$5,'QB_Funds Analysis raw'!$B$5:$AC$5, _xlfn.XLOOKUP($A59,'QB_Funds Analysis raw'!$A$6:$A$104,'QB_Funds Analysis raw'!$B$6:$AC$104))),0,(_xlfn.XLOOKUP(N$5,'QB_Funds Analysis raw'!$B$5:$AC$5, _xlfn.XLOOKUP($A59,'QB_Funds Analysis raw'!$A$6:$A$104,'QB_Funds Analysis raw'!$B$6:$AC$104))))</f>
        <v>0</v>
      </c>
      <c r="O59" s="252" cm="1">
        <f t="array" ref="O59">IF(ISERROR(_xlfn.XLOOKUP(O$5,'QB_Funds Analysis raw'!$B$5:$AC$5, _xlfn.XLOOKUP($A59,'QB_Funds Analysis raw'!$A$6:$A$104,'QB_Funds Analysis raw'!$B$6:$AC$104))),0,(_xlfn.XLOOKUP(O$5,'QB_Funds Analysis raw'!$B$5:$AC$5, _xlfn.XLOOKUP($A59,'QB_Funds Analysis raw'!$A$6:$A$104,'QB_Funds Analysis raw'!$B$6:$AC$104))))</f>
        <v>0</v>
      </c>
      <c r="P59" s="142" cm="1">
        <f t="array" ref="P59">IF(ISERROR(_xlfn.XLOOKUP(P$5,'QB_Funds Analysis raw'!$B$5:$AC$5, _xlfn.XLOOKUP($A59,'QB_Funds Analysis raw'!$A$6:$A$104,'QB_Funds Analysis raw'!$B$6:$AC$104))),0,(_xlfn.XLOOKUP(P$5,'QB_Funds Analysis raw'!$B$5:$AC$5, _xlfn.XLOOKUP($A59,'QB_Funds Analysis raw'!$A$6:$A$104,'QB_Funds Analysis raw'!$B$6:$AC$104))))</f>
        <v>0</v>
      </c>
      <c r="Q59" s="247" cm="1">
        <f t="array" ref="Q59">IF(ISERROR(_xlfn.XLOOKUP(Q$5,'QB_Funds Analysis raw'!$B$5:$AC$5, _xlfn.XLOOKUP($A59,'QB_Funds Analysis raw'!$A$6:$A$104,'QB_Funds Analysis raw'!$B$6:$AC$104))),0,(_xlfn.XLOOKUP(Q$5,'QB_Funds Analysis raw'!$B$5:$AC$5, _xlfn.XLOOKUP($A59,'QB_Funds Analysis raw'!$A$6:$A$104,'QB_Funds Analysis raw'!$B$6:$AC$104))))</f>
        <v>0</v>
      </c>
      <c r="R59" s="142" cm="1">
        <f t="array" ref="R59">IF(ISERROR(_xlfn.XLOOKUP(R$5,'QB_Funds Analysis raw'!$B$5:$AC$5, _xlfn.XLOOKUP($A59,'QB_Funds Analysis raw'!$A$6:$A$104,'QB_Funds Analysis raw'!$B$6:$AC$104))),0,(_xlfn.XLOOKUP(R$5,'QB_Funds Analysis raw'!$B$5:$AC$5, _xlfn.XLOOKUP($A59,'QB_Funds Analysis raw'!$A$6:$A$104,'QB_Funds Analysis raw'!$B$6:$AC$104))))</f>
        <v>0</v>
      </c>
      <c r="S59" s="142" cm="1">
        <f t="array" ref="S59">IF(ISERROR(_xlfn.XLOOKUP(S$5,'QB_Funds Analysis raw'!$B$5:$AC$5, _xlfn.XLOOKUP($A59,'QB_Funds Analysis raw'!$A$6:$A$104,'QB_Funds Analysis raw'!$B$6:$AC$104))),0,(_xlfn.XLOOKUP(S$5,'QB_Funds Analysis raw'!$B$5:$AC$5, _xlfn.XLOOKUP($A59,'QB_Funds Analysis raw'!$A$6:$A$104,'QB_Funds Analysis raw'!$B$6:$AC$104))))</f>
        <v>0</v>
      </c>
      <c r="T59" s="142" cm="1">
        <f t="array" ref="T59">IF(ISERROR(_xlfn.XLOOKUP(T$5,'QB_Funds Analysis raw'!$B$5:$AC$5, _xlfn.XLOOKUP($A59,'QB_Funds Analysis raw'!$A$6:$A$104,'QB_Funds Analysis raw'!$B$6:$AC$104))),0,(_xlfn.XLOOKUP(T$5,'QB_Funds Analysis raw'!$B$5:$AC$5, _xlfn.XLOOKUP($A59,'QB_Funds Analysis raw'!$A$6:$A$104,'QB_Funds Analysis raw'!$B$6:$AC$104))))</f>
        <v>0</v>
      </c>
      <c r="U59" s="142" cm="1">
        <f t="array" ref="U59">IF(ISERROR(_xlfn.XLOOKUP(U$5,'QB_Funds Analysis raw'!$B$5:$AC$5, _xlfn.XLOOKUP($A59,'QB_Funds Analysis raw'!$A$6:$A$104,'QB_Funds Analysis raw'!$B$6:$AC$104))),0,(_xlfn.XLOOKUP(U$5,'QB_Funds Analysis raw'!$B$5:$AC$5, _xlfn.XLOOKUP($A59,'QB_Funds Analysis raw'!$A$6:$A$104,'QB_Funds Analysis raw'!$B$6:$AC$104))))</f>
        <v>0</v>
      </c>
      <c r="V59" s="142" cm="1">
        <f t="array" ref="V59">IF(ISERROR(_xlfn.XLOOKUP(V$5,'QB_Funds Analysis raw'!$B$5:$AC$5, _xlfn.XLOOKUP($A59,'QB_Funds Analysis raw'!$A$6:$A$104,'QB_Funds Analysis raw'!$B$6:$AC$104))),0,(_xlfn.XLOOKUP(V$5,'QB_Funds Analysis raw'!$B$5:$AC$5, _xlfn.XLOOKUP($A59,'QB_Funds Analysis raw'!$A$6:$A$104,'QB_Funds Analysis raw'!$B$6:$AC$104))))</f>
        <v>0</v>
      </c>
      <c r="W59" s="142" cm="1">
        <f t="array" ref="W59">IF(ISERROR(_xlfn.XLOOKUP(W$5,'QB_Funds Analysis raw'!$B$5:$AC$5, _xlfn.XLOOKUP($A59,'QB_Funds Analysis raw'!$A$6:$A$104,'QB_Funds Analysis raw'!$B$6:$AC$104))),0,(_xlfn.XLOOKUP(W$5,'QB_Funds Analysis raw'!$B$5:$AC$5, _xlfn.XLOOKUP($A59,'QB_Funds Analysis raw'!$A$6:$A$104,'QB_Funds Analysis raw'!$B$6:$AC$104))))</f>
        <v>0</v>
      </c>
      <c r="X59" s="142" cm="1">
        <f t="array" ref="X59">IF(ISERROR(_xlfn.XLOOKUP(X$5,'QB_Funds Analysis raw'!$B$5:$AC$5, _xlfn.XLOOKUP($A59,'QB_Funds Analysis raw'!$A$6:$A$104,'QB_Funds Analysis raw'!$B$6:$AC$104))),0,(_xlfn.XLOOKUP(X$5,'QB_Funds Analysis raw'!$B$5:$AC$5, _xlfn.XLOOKUP($A59,'QB_Funds Analysis raw'!$A$6:$A$104,'QB_Funds Analysis raw'!$B$6:$AC$104))))</f>
        <v>0</v>
      </c>
      <c r="Y59" s="142" cm="1">
        <f t="array" ref="Y59">IF(ISERROR(_xlfn.XLOOKUP(Y$5,'QB_Funds Analysis raw'!$B$5:$AC$5, _xlfn.XLOOKUP($A59,'QB_Funds Analysis raw'!$A$6:$A$104,'QB_Funds Analysis raw'!$B$6:$AC$104))),0,(_xlfn.XLOOKUP(Y$5,'QB_Funds Analysis raw'!$B$5:$AC$5, _xlfn.XLOOKUP($A59,'QB_Funds Analysis raw'!$A$6:$A$104,'QB_Funds Analysis raw'!$B$6:$AC$104))))</f>
        <v>0</v>
      </c>
      <c r="Z59" s="142" cm="1">
        <f t="array" ref="Z59">IF(ISERROR(_xlfn.XLOOKUP(Z$5,'QB_Funds Analysis raw'!$B$5:$AC$5, _xlfn.XLOOKUP($A59,'QB_Funds Analysis raw'!$A$6:$A$104,'QB_Funds Analysis raw'!$B$6:$AC$104))),0,(_xlfn.XLOOKUP(Z$5,'QB_Funds Analysis raw'!$B$5:$AC$5, _xlfn.XLOOKUP($A59,'QB_Funds Analysis raw'!$A$6:$A$104,'QB_Funds Analysis raw'!$B$6:$AC$104))))</f>
        <v>0</v>
      </c>
      <c r="AA59" s="142" cm="1">
        <f t="array" ref="AA59">IF(ISERROR(_xlfn.XLOOKUP(AA$5,'QB_Funds Analysis raw'!$B$5:$AC$5, _xlfn.XLOOKUP($A59,'QB_Funds Analysis raw'!$A$6:$A$104,'QB_Funds Analysis raw'!$B$6:$AC$104))),0,(_xlfn.XLOOKUP(AA$5,'QB_Funds Analysis raw'!$B$5:$AC$5, _xlfn.XLOOKUP($A59,'QB_Funds Analysis raw'!$A$6:$A$104,'QB_Funds Analysis raw'!$B$6:$AC$104))))</f>
        <v>0</v>
      </c>
      <c r="AB59" s="142" cm="1">
        <f t="array" ref="AB59">IF(ISERROR(_xlfn.XLOOKUP(AB$5,'QB_Funds Analysis raw'!$B$5:$AC$5, _xlfn.XLOOKUP($A59,'QB_Funds Analysis raw'!$A$6:$A$104,'QB_Funds Analysis raw'!$B$6:$AC$104))),0,(_xlfn.XLOOKUP(AB$5,'QB_Funds Analysis raw'!$B$5:$AC$5, _xlfn.XLOOKUP($A59,'QB_Funds Analysis raw'!$A$6:$A$104,'QB_Funds Analysis raw'!$B$6:$AC$104))))</f>
        <v>75</v>
      </c>
      <c r="AC59" s="142" cm="1">
        <f t="array" ref="AC59">IF(ISERROR(_xlfn.XLOOKUP(AC$5,'QB_Funds Analysis raw'!$B$5:$AC$5, _xlfn.XLOOKUP($A59,'QB_Funds Analysis raw'!$A$6:$A$104,'QB_Funds Analysis raw'!$B$6:$AC$104))),0,(_xlfn.XLOOKUP(AC$5,'QB_Funds Analysis raw'!$B$5:$AC$5, _xlfn.XLOOKUP($A59,'QB_Funds Analysis raw'!$A$6:$A$104,'QB_Funds Analysis raw'!$B$6:$AC$104))))</f>
        <v>75</v>
      </c>
      <c r="AD59" s="167">
        <f t="shared" si="13"/>
        <v>75</v>
      </c>
      <c r="AE59" s="167">
        <f t="shared" si="4"/>
        <v>0</v>
      </c>
    </row>
    <row r="60" spans="1:31" ht="20.25" customHeight="1" x14ac:dyDescent="0.25">
      <c r="A60" s="2" t="s">
        <v>62</v>
      </c>
      <c r="B60" s="142" cm="1">
        <f t="array" ref="B60">IF(ISERROR(_xlfn.XLOOKUP(B$5,'QB_Funds Analysis raw'!$B$5:$AC$5, _xlfn.XLOOKUP($A60,'QB_Funds Analysis raw'!$A$6:$A$104,'QB_Funds Analysis raw'!$B$6:$AC$104))),0,(_xlfn.XLOOKUP(B$5,'QB_Funds Analysis raw'!$B$5:$AC$5, _xlfn.XLOOKUP($A60,'QB_Funds Analysis raw'!$A$6:$A$104,'QB_Funds Analysis raw'!$B$6:$AC$104))))</f>
        <v>0</v>
      </c>
      <c r="C60" s="142" cm="1">
        <f t="array" ref="C60">IF(ISERROR(_xlfn.XLOOKUP(C$5,'QB_Funds Analysis raw'!$B$5:$AC$5, _xlfn.XLOOKUP($A60,'QB_Funds Analysis raw'!$A$6:$A$104,'QB_Funds Analysis raw'!$B$6:$AC$104))),0,(_xlfn.XLOOKUP(C$5,'QB_Funds Analysis raw'!$B$5:$AC$5, _xlfn.XLOOKUP($A60,'QB_Funds Analysis raw'!$A$6:$A$104,'QB_Funds Analysis raw'!$B$6:$AC$104))))</f>
        <v>0</v>
      </c>
      <c r="D60" s="252" cm="1">
        <f t="array" ref="D60">IF(ISERROR(_xlfn.XLOOKUP(D$5,'QB_Funds Analysis raw'!$B$5:$AC$5, _xlfn.XLOOKUP($A60,'QB_Funds Analysis raw'!$A$6:$A$104,'QB_Funds Analysis raw'!$B$6:$AC$104))),0,(_xlfn.XLOOKUP(D$5,'QB_Funds Analysis raw'!$B$5:$AC$5, _xlfn.XLOOKUP($A60,'QB_Funds Analysis raw'!$A$6:$A$104,'QB_Funds Analysis raw'!$B$6:$AC$104))))</f>
        <v>0</v>
      </c>
      <c r="E60" s="142" cm="1">
        <f t="array" ref="E60">IF(ISERROR(_xlfn.XLOOKUP(E$5,'QB_Funds Analysis raw'!$B$5:$AC$5, _xlfn.XLOOKUP($A60,'QB_Funds Analysis raw'!$A$6:$A$104,'QB_Funds Analysis raw'!$B$6:$AC$104))),0,(_xlfn.XLOOKUP(E$5,'QB_Funds Analysis raw'!$B$5:$AC$5, _xlfn.XLOOKUP($A60,'QB_Funds Analysis raw'!$A$6:$A$104,'QB_Funds Analysis raw'!$B$6:$AC$104))))</f>
        <v>0</v>
      </c>
      <c r="F60" s="142" cm="1">
        <f t="array" ref="F60">IF(ISERROR(_xlfn.XLOOKUP(F$5,'QB_Funds Analysis raw'!$B$5:$AC$5, _xlfn.XLOOKUP($A60,'QB_Funds Analysis raw'!$A$6:$A$104,'QB_Funds Analysis raw'!$B$6:$AC$104))),0,(_xlfn.XLOOKUP(F$5,'QB_Funds Analysis raw'!$B$5:$AC$5, _xlfn.XLOOKUP($A60,'QB_Funds Analysis raw'!$A$6:$A$104,'QB_Funds Analysis raw'!$B$6:$AC$104))))</f>
        <v>0</v>
      </c>
      <c r="G60" s="142" cm="1">
        <f t="array" ref="G60">IF(ISERROR(_xlfn.XLOOKUP(G$5,'QB_Funds Analysis raw'!$B$5:$AC$5, _xlfn.XLOOKUP($A60,'QB_Funds Analysis raw'!$A$6:$A$104,'QB_Funds Analysis raw'!$B$6:$AC$104))),0,(_xlfn.XLOOKUP(G$5,'QB_Funds Analysis raw'!$B$5:$AC$5, _xlfn.XLOOKUP($A60,'QB_Funds Analysis raw'!$A$6:$A$104,'QB_Funds Analysis raw'!$B$6:$AC$104))))</f>
        <v>0</v>
      </c>
      <c r="H60" s="142" cm="1">
        <f t="array" ref="H60">IF(ISERROR(_xlfn.XLOOKUP(H$5,'QB_Funds Analysis raw'!$B$5:$AC$5, _xlfn.XLOOKUP($A60,'QB_Funds Analysis raw'!$A$6:$A$104,'QB_Funds Analysis raw'!$B$6:$AC$104))),0,(_xlfn.XLOOKUP(H$5,'QB_Funds Analysis raw'!$B$5:$AC$5, _xlfn.XLOOKUP($A60,'QB_Funds Analysis raw'!$A$6:$A$104,'QB_Funds Analysis raw'!$B$6:$AC$104))))</f>
        <v>0</v>
      </c>
      <c r="I60" s="142" cm="1">
        <f t="array" ref="I60">IF(ISERROR(_xlfn.XLOOKUP(I$5,'QB_Funds Analysis raw'!$B$5:$AC$5, _xlfn.XLOOKUP($A60,'QB_Funds Analysis raw'!$A$6:$A$104,'QB_Funds Analysis raw'!$B$6:$AC$104))),0,(_xlfn.XLOOKUP(I$5,'QB_Funds Analysis raw'!$B$5:$AC$5, _xlfn.XLOOKUP($A60,'QB_Funds Analysis raw'!$A$6:$A$104,'QB_Funds Analysis raw'!$B$6:$AC$104))))</f>
        <v>0</v>
      </c>
      <c r="J60" s="142" cm="1">
        <f t="array" ref="J60">IF(ISERROR(_xlfn.XLOOKUP(J$5,'QB_Funds Analysis raw'!$B$5:$AC$5, _xlfn.XLOOKUP($A60,'QB_Funds Analysis raw'!$A$6:$A$104,'QB_Funds Analysis raw'!$B$6:$AC$104))),0,(_xlfn.XLOOKUP(J$5,'QB_Funds Analysis raw'!$B$5:$AC$5, _xlfn.XLOOKUP($A60,'QB_Funds Analysis raw'!$A$6:$A$104,'QB_Funds Analysis raw'!$B$6:$AC$104))))</f>
        <v>0</v>
      </c>
      <c r="K60" s="252" cm="1">
        <f t="array" ref="K60">IF(ISERROR(_xlfn.XLOOKUP(K$5,'QB_Funds Analysis raw'!$B$5:$AC$5, _xlfn.XLOOKUP($A60,'QB_Funds Analysis raw'!$A$6:$A$104,'QB_Funds Analysis raw'!$B$6:$AC$104))),0,(_xlfn.XLOOKUP(K$5,'QB_Funds Analysis raw'!$B$5:$AC$5, _xlfn.XLOOKUP($A60,'QB_Funds Analysis raw'!$A$6:$A$104,'QB_Funds Analysis raw'!$B$6:$AC$104))))</f>
        <v>0</v>
      </c>
      <c r="L60" s="142" cm="1">
        <f t="array" ref="L60">IF(ISERROR(_xlfn.XLOOKUP(L$5,'QB_Funds Analysis raw'!$B$5:$AC$5, _xlfn.XLOOKUP($A60,'QB_Funds Analysis raw'!$A$6:$A$104,'QB_Funds Analysis raw'!$B$6:$AC$104))),0,(_xlfn.XLOOKUP(L$5,'QB_Funds Analysis raw'!$B$5:$AC$5, _xlfn.XLOOKUP($A60,'QB_Funds Analysis raw'!$A$6:$A$104,'QB_Funds Analysis raw'!$B$6:$AC$104))))</f>
        <v>0</v>
      </c>
      <c r="M60" s="142" cm="1">
        <f t="array" ref="M60">IF(ISERROR(_xlfn.XLOOKUP(M$5,'QB_Funds Analysis raw'!$B$5:$AC$5, _xlfn.XLOOKUP($A60,'QB_Funds Analysis raw'!$A$6:$A$104,'QB_Funds Analysis raw'!$B$6:$AC$104))),0,(_xlfn.XLOOKUP(M$5,'QB_Funds Analysis raw'!$B$5:$AC$5, _xlfn.XLOOKUP($A60,'QB_Funds Analysis raw'!$A$6:$A$104,'QB_Funds Analysis raw'!$B$6:$AC$104))))</f>
        <v>0</v>
      </c>
      <c r="N60" s="252" cm="1">
        <f t="array" ref="N60">IF(ISERROR(_xlfn.XLOOKUP(N$5,'QB_Funds Analysis raw'!$B$5:$AC$5, _xlfn.XLOOKUP($A60,'QB_Funds Analysis raw'!$A$6:$A$104,'QB_Funds Analysis raw'!$B$6:$AC$104))),0,(_xlfn.XLOOKUP(N$5,'QB_Funds Analysis raw'!$B$5:$AC$5, _xlfn.XLOOKUP($A60,'QB_Funds Analysis raw'!$A$6:$A$104,'QB_Funds Analysis raw'!$B$6:$AC$104))))</f>
        <v>0</v>
      </c>
      <c r="O60" s="252" cm="1">
        <f t="array" ref="O60">IF(ISERROR(_xlfn.XLOOKUP(O$5,'QB_Funds Analysis raw'!$B$5:$AC$5, _xlfn.XLOOKUP($A60,'QB_Funds Analysis raw'!$A$6:$A$104,'QB_Funds Analysis raw'!$B$6:$AC$104))),0,(_xlfn.XLOOKUP(O$5,'QB_Funds Analysis raw'!$B$5:$AC$5, _xlfn.XLOOKUP($A60,'QB_Funds Analysis raw'!$A$6:$A$104,'QB_Funds Analysis raw'!$B$6:$AC$104))))</f>
        <v>0</v>
      </c>
      <c r="P60" s="142" cm="1">
        <f t="array" ref="P60">IF(ISERROR(_xlfn.XLOOKUP(P$5,'QB_Funds Analysis raw'!$B$5:$AC$5, _xlfn.XLOOKUP($A60,'QB_Funds Analysis raw'!$A$6:$A$104,'QB_Funds Analysis raw'!$B$6:$AC$104))),0,(_xlfn.XLOOKUP(P$5,'QB_Funds Analysis raw'!$B$5:$AC$5, _xlfn.XLOOKUP($A60,'QB_Funds Analysis raw'!$A$6:$A$104,'QB_Funds Analysis raw'!$B$6:$AC$104))))</f>
        <v>0</v>
      </c>
      <c r="Q60" s="247" cm="1">
        <f t="array" ref="Q60">IF(ISERROR(_xlfn.XLOOKUP(Q$5,'QB_Funds Analysis raw'!$B$5:$AC$5, _xlfn.XLOOKUP($A60,'QB_Funds Analysis raw'!$A$6:$A$104,'QB_Funds Analysis raw'!$B$6:$AC$104))),0,(_xlfn.XLOOKUP(Q$5,'QB_Funds Analysis raw'!$B$5:$AC$5, _xlfn.XLOOKUP($A60,'QB_Funds Analysis raw'!$A$6:$A$104,'QB_Funds Analysis raw'!$B$6:$AC$104))))</f>
        <v>0</v>
      </c>
      <c r="R60" s="142" cm="1">
        <f t="array" ref="R60">IF(ISERROR(_xlfn.XLOOKUP(R$5,'QB_Funds Analysis raw'!$B$5:$AC$5, _xlfn.XLOOKUP($A60,'QB_Funds Analysis raw'!$A$6:$A$104,'QB_Funds Analysis raw'!$B$6:$AC$104))),0,(_xlfn.XLOOKUP(R$5,'QB_Funds Analysis raw'!$B$5:$AC$5, _xlfn.XLOOKUP($A60,'QB_Funds Analysis raw'!$A$6:$A$104,'QB_Funds Analysis raw'!$B$6:$AC$104))))</f>
        <v>0</v>
      </c>
      <c r="S60" s="142" cm="1">
        <f t="array" ref="S60">IF(ISERROR(_xlfn.XLOOKUP(S$5,'QB_Funds Analysis raw'!$B$5:$AC$5, _xlfn.XLOOKUP($A60,'QB_Funds Analysis raw'!$A$6:$A$104,'QB_Funds Analysis raw'!$B$6:$AC$104))),0,(_xlfn.XLOOKUP(S$5,'QB_Funds Analysis raw'!$B$5:$AC$5, _xlfn.XLOOKUP($A60,'QB_Funds Analysis raw'!$A$6:$A$104,'QB_Funds Analysis raw'!$B$6:$AC$104))))</f>
        <v>0</v>
      </c>
      <c r="T60" s="142" cm="1">
        <f t="array" ref="T60">IF(ISERROR(_xlfn.XLOOKUP(T$5,'QB_Funds Analysis raw'!$B$5:$AC$5, _xlfn.XLOOKUP($A60,'QB_Funds Analysis raw'!$A$6:$A$104,'QB_Funds Analysis raw'!$B$6:$AC$104))),0,(_xlfn.XLOOKUP(T$5,'QB_Funds Analysis raw'!$B$5:$AC$5, _xlfn.XLOOKUP($A60,'QB_Funds Analysis raw'!$A$6:$A$104,'QB_Funds Analysis raw'!$B$6:$AC$104))))</f>
        <v>0</v>
      </c>
      <c r="U60" s="142" cm="1">
        <f t="array" ref="U60">IF(ISERROR(_xlfn.XLOOKUP(U$5,'QB_Funds Analysis raw'!$B$5:$AC$5, _xlfn.XLOOKUP($A60,'QB_Funds Analysis raw'!$A$6:$A$104,'QB_Funds Analysis raw'!$B$6:$AC$104))),0,(_xlfn.XLOOKUP(U$5,'QB_Funds Analysis raw'!$B$5:$AC$5, _xlfn.XLOOKUP($A60,'QB_Funds Analysis raw'!$A$6:$A$104,'QB_Funds Analysis raw'!$B$6:$AC$104))))</f>
        <v>0</v>
      </c>
      <c r="V60" s="142" cm="1">
        <f t="array" ref="V60">IF(ISERROR(_xlfn.XLOOKUP(V$5,'QB_Funds Analysis raw'!$B$5:$AC$5, _xlfn.XLOOKUP($A60,'QB_Funds Analysis raw'!$A$6:$A$104,'QB_Funds Analysis raw'!$B$6:$AC$104))),0,(_xlfn.XLOOKUP(V$5,'QB_Funds Analysis raw'!$B$5:$AC$5, _xlfn.XLOOKUP($A60,'QB_Funds Analysis raw'!$A$6:$A$104,'QB_Funds Analysis raw'!$B$6:$AC$104))))</f>
        <v>0</v>
      </c>
      <c r="W60" s="142" cm="1">
        <f t="array" ref="W60">IF(ISERROR(_xlfn.XLOOKUP(W$5,'QB_Funds Analysis raw'!$B$5:$AC$5, _xlfn.XLOOKUP($A60,'QB_Funds Analysis raw'!$A$6:$A$104,'QB_Funds Analysis raw'!$B$6:$AC$104))),0,(_xlfn.XLOOKUP(W$5,'QB_Funds Analysis raw'!$B$5:$AC$5, _xlfn.XLOOKUP($A60,'QB_Funds Analysis raw'!$A$6:$A$104,'QB_Funds Analysis raw'!$B$6:$AC$104))))</f>
        <v>0</v>
      </c>
      <c r="X60" s="142" cm="1">
        <f t="array" ref="X60">IF(ISERROR(_xlfn.XLOOKUP(X$5,'QB_Funds Analysis raw'!$B$5:$AC$5, _xlfn.XLOOKUP($A60,'QB_Funds Analysis raw'!$A$6:$A$104,'QB_Funds Analysis raw'!$B$6:$AC$104))),0,(_xlfn.XLOOKUP(X$5,'QB_Funds Analysis raw'!$B$5:$AC$5, _xlfn.XLOOKUP($A60,'QB_Funds Analysis raw'!$A$6:$A$104,'QB_Funds Analysis raw'!$B$6:$AC$104))))</f>
        <v>0</v>
      </c>
      <c r="Y60" s="142" cm="1">
        <f t="array" ref="Y60">IF(ISERROR(_xlfn.XLOOKUP(Y$5,'QB_Funds Analysis raw'!$B$5:$AC$5, _xlfn.XLOOKUP($A60,'QB_Funds Analysis raw'!$A$6:$A$104,'QB_Funds Analysis raw'!$B$6:$AC$104))),0,(_xlfn.XLOOKUP(Y$5,'QB_Funds Analysis raw'!$B$5:$AC$5, _xlfn.XLOOKUP($A60,'QB_Funds Analysis raw'!$A$6:$A$104,'QB_Funds Analysis raw'!$B$6:$AC$104))))</f>
        <v>0</v>
      </c>
      <c r="Z60" s="142" cm="1">
        <f t="array" ref="Z60">IF(ISERROR(_xlfn.XLOOKUP(Z$5,'QB_Funds Analysis raw'!$B$5:$AC$5, _xlfn.XLOOKUP($A60,'QB_Funds Analysis raw'!$A$6:$A$104,'QB_Funds Analysis raw'!$B$6:$AC$104))),0,(_xlfn.XLOOKUP(Z$5,'QB_Funds Analysis raw'!$B$5:$AC$5, _xlfn.XLOOKUP($A60,'QB_Funds Analysis raw'!$A$6:$A$104,'QB_Funds Analysis raw'!$B$6:$AC$104))))</f>
        <v>0</v>
      </c>
      <c r="AA60" s="142" cm="1">
        <f t="array" ref="AA60">IF(ISERROR(_xlfn.XLOOKUP(AA$5,'QB_Funds Analysis raw'!$B$5:$AC$5, _xlfn.XLOOKUP($A60,'QB_Funds Analysis raw'!$A$6:$A$104,'QB_Funds Analysis raw'!$B$6:$AC$104))),0,(_xlfn.XLOOKUP(AA$5,'QB_Funds Analysis raw'!$B$5:$AC$5, _xlfn.XLOOKUP($A60,'QB_Funds Analysis raw'!$A$6:$A$104,'QB_Funds Analysis raw'!$B$6:$AC$104))))</f>
        <v>0</v>
      </c>
      <c r="AB60" s="142" cm="1">
        <f t="array" ref="AB60">IF(ISERROR(_xlfn.XLOOKUP(AB$5,'QB_Funds Analysis raw'!$B$5:$AC$5, _xlfn.XLOOKUP($A60,'QB_Funds Analysis raw'!$A$6:$A$104,'QB_Funds Analysis raw'!$B$6:$AC$104))),0,(_xlfn.XLOOKUP(AB$5,'QB_Funds Analysis raw'!$B$5:$AC$5, _xlfn.XLOOKUP($A60,'QB_Funds Analysis raw'!$A$6:$A$104,'QB_Funds Analysis raw'!$B$6:$AC$104))))</f>
        <v>2310.1799999999998</v>
      </c>
      <c r="AC60" s="142" cm="1">
        <f t="array" ref="AC60">IF(ISERROR(_xlfn.XLOOKUP(AC$5,'QB_Funds Analysis raw'!$B$5:$AC$5, _xlfn.XLOOKUP($A60,'QB_Funds Analysis raw'!$A$6:$A$104,'QB_Funds Analysis raw'!$B$6:$AC$104))),0,(_xlfn.XLOOKUP(AC$5,'QB_Funds Analysis raw'!$B$5:$AC$5, _xlfn.XLOOKUP($A60,'QB_Funds Analysis raw'!$A$6:$A$104,'QB_Funds Analysis raw'!$B$6:$AC$104))))</f>
        <v>2310.1799999999998</v>
      </c>
      <c r="AD60" s="167">
        <f t="shared" si="13"/>
        <v>2310.1799999999998</v>
      </c>
      <c r="AE60" s="167">
        <f t="shared" si="4"/>
        <v>0</v>
      </c>
    </row>
    <row r="61" spans="1:31" ht="20.25" customHeight="1" x14ac:dyDescent="0.25">
      <c r="A61" s="2" t="s">
        <v>63</v>
      </c>
      <c r="B61" s="142" cm="1">
        <f t="array" ref="B61">IF(ISERROR(_xlfn.XLOOKUP(B$5,'QB_Funds Analysis raw'!$B$5:$AC$5, _xlfn.XLOOKUP($A61,'QB_Funds Analysis raw'!$A$6:$A$104,'QB_Funds Analysis raw'!$B$6:$AC$104))),0,(_xlfn.XLOOKUP(B$5,'QB_Funds Analysis raw'!$B$5:$AC$5, _xlfn.XLOOKUP($A61,'QB_Funds Analysis raw'!$A$6:$A$104,'QB_Funds Analysis raw'!$B$6:$AC$104))))</f>
        <v>0</v>
      </c>
      <c r="C61" s="142" cm="1">
        <f t="array" ref="C61">IF(ISERROR(_xlfn.XLOOKUP(C$5,'QB_Funds Analysis raw'!$B$5:$AC$5, _xlfn.XLOOKUP($A61,'QB_Funds Analysis raw'!$A$6:$A$104,'QB_Funds Analysis raw'!$B$6:$AC$104))),0,(_xlfn.XLOOKUP(C$5,'QB_Funds Analysis raw'!$B$5:$AC$5, _xlfn.XLOOKUP($A61,'QB_Funds Analysis raw'!$A$6:$A$104,'QB_Funds Analysis raw'!$B$6:$AC$104))))</f>
        <v>0</v>
      </c>
      <c r="D61" s="252" cm="1">
        <f t="array" ref="D61">IF(ISERROR(_xlfn.XLOOKUP(D$5,'QB_Funds Analysis raw'!$B$5:$AC$5, _xlfn.XLOOKUP($A61,'QB_Funds Analysis raw'!$A$6:$A$104,'QB_Funds Analysis raw'!$B$6:$AC$104))),0,(_xlfn.XLOOKUP(D$5,'QB_Funds Analysis raw'!$B$5:$AC$5, _xlfn.XLOOKUP($A61,'QB_Funds Analysis raw'!$A$6:$A$104,'QB_Funds Analysis raw'!$B$6:$AC$104))))</f>
        <v>0</v>
      </c>
      <c r="E61" s="142" cm="1">
        <f t="array" ref="E61">IF(ISERROR(_xlfn.XLOOKUP(E$5,'QB_Funds Analysis raw'!$B$5:$AC$5, _xlfn.XLOOKUP($A61,'QB_Funds Analysis raw'!$A$6:$A$104,'QB_Funds Analysis raw'!$B$6:$AC$104))),0,(_xlfn.XLOOKUP(E$5,'QB_Funds Analysis raw'!$B$5:$AC$5, _xlfn.XLOOKUP($A61,'QB_Funds Analysis raw'!$A$6:$A$104,'QB_Funds Analysis raw'!$B$6:$AC$104))))</f>
        <v>0</v>
      </c>
      <c r="F61" s="142" cm="1">
        <f t="array" ref="F61">IF(ISERROR(_xlfn.XLOOKUP(F$5,'QB_Funds Analysis raw'!$B$5:$AC$5, _xlfn.XLOOKUP($A61,'QB_Funds Analysis raw'!$A$6:$A$104,'QB_Funds Analysis raw'!$B$6:$AC$104))),0,(_xlfn.XLOOKUP(F$5,'QB_Funds Analysis raw'!$B$5:$AC$5, _xlfn.XLOOKUP($A61,'QB_Funds Analysis raw'!$A$6:$A$104,'QB_Funds Analysis raw'!$B$6:$AC$104))))</f>
        <v>0</v>
      </c>
      <c r="G61" s="142" cm="1">
        <f t="array" ref="G61">IF(ISERROR(_xlfn.XLOOKUP(G$5,'QB_Funds Analysis raw'!$B$5:$AC$5, _xlfn.XLOOKUP($A61,'QB_Funds Analysis raw'!$A$6:$A$104,'QB_Funds Analysis raw'!$B$6:$AC$104))),0,(_xlfn.XLOOKUP(G$5,'QB_Funds Analysis raw'!$B$5:$AC$5, _xlfn.XLOOKUP($A61,'QB_Funds Analysis raw'!$A$6:$A$104,'QB_Funds Analysis raw'!$B$6:$AC$104))))</f>
        <v>0</v>
      </c>
      <c r="H61" s="142" cm="1">
        <f t="array" ref="H61">IF(ISERROR(_xlfn.XLOOKUP(H$5,'QB_Funds Analysis raw'!$B$5:$AC$5, _xlfn.XLOOKUP($A61,'QB_Funds Analysis raw'!$A$6:$A$104,'QB_Funds Analysis raw'!$B$6:$AC$104))),0,(_xlfn.XLOOKUP(H$5,'QB_Funds Analysis raw'!$B$5:$AC$5, _xlfn.XLOOKUP($A61,'QB_Funds Analysis raw'!$A$6:$A$104,'QB_Funds Analysis raw'!$B$6:$AC$104))))</f>
        <v>0</v>
      </c>
      <c r="I61" s="142" cm="1">
        <f t="array" ref="I61">IF(ISERROR(_xlfn.XLOOKUP(I$5,'QB_Funds Analysis raw'!$B$5:$AC$5, _xlfn.XLOOKUP($A61,'QB_Funds Analysis raw'!$A$6:$A$104,'QB_Funds Analysis raw'!$B$6:$AC$104))),0,(_xlfn.XLOOKUP(I$5,'QB_Funds Analysis raw'!$B$5:$AC$5, _xlfn.XLOOKUP($A61,'QB_Funds Analysis raw'!$A$6:$A$104,'QB_Funds Analysis raw'!$B$6:$AC$104))))</f>
        <v>0</v>
      </c>
      <c r="J61" s="142" cm="1">
        <f t="array" ref="J61">IF(ISERROR(_xlfn.XLOOKUP(J$5,'QB_Funds Analysis raw'!$B$5:$AC$5, _xlfn.XLOOKUP($A61,'QB_Funds Analysis raw'!$A$6:$A$104,'QB_Funds Analysis raw'!$B$6:$AC$104))),0,(_xlfn.XLOOKUP(J$5,'QB_Funds Analysis raw'!$B$5:$AC$5, _xlfn.XLOOKUP($A61,'QB_Funds Analysis raw'!$A$6:$A$104,'QB_Funds Analysis raw'!$B$6:$AC$104))))</f>
        <v>0</v>
      </c>
      <c r="K61" s="252" cm="1">
        <f t="array" ref="K61">IF(ISERROR(_xlfn.XLOOKUP(K$5,'QB_Funds Analysis raw'!$B$5:$AC$5, _xlfn.XLOOKUP($A61,'QB_Funds Analysis raw'!$A$6:$A$104,'QB_Funds Analysis raw'!$B$6:$AC$104))),0,(_xlfn.XLOOKUP(K$5,'QB_Funds Analysis raw'!$B$5:$AC$5, _xlfn.XLOOKUP($A61,'QB_Funds Analysis raw'!$A$6:$A$104,'QB_Funds Analysis raw'!$B$6:$AC$104))))</f>
        <v>0</v>
      </c>
      <c r="L61" s="142" cm="1">
        <f t="array" ref="L61">IF(ISERROR(_xlfn.XLOOKUP(L$5,'QB_Funds Analysis raw'!$B$5:$AC$5, _xlfn.XLOOKUP($A61,'QB_Funds Analysis raw'!$A$6:$A$104,'QB_Funds Analysis raw'!$B$6:$AC$104))),0,(_xlfn.XLOOKUP(L$5,'QB_Funds Analysis raw'!$B$5:$AC$5, _xlfn.XLOOKUP($A61,'QB_Funds Analysis raw'!$A$6:$A$104,'QB_Funds Analysis raw'!$B$6:$AC$104))))</f>
        <v>0</v>
      </c>
      <c r="M61" s="142" cm="1">
        <f t="array" ref="M61">IF(ISERROR(_xlfn.XLOOKUP(M$5,'QB_Funds Analysis raw'!$B$5:$AC$5, _xlfn.XLOOKUP($A61,'QB_Funds Analysis raw'!$A$6:$A$104,'QB_Funds Analysis raw'!$B$6:$AC$104))),0,(_xlfn.XLOOKUP(M$5,'QB_Funds Analysis raw'!$B$5:$AC$5, _xlfn.XLOOKUP($A61,'QB_Funds Analysis raw'!$A$6:$A$104,'QB_Funds Analysis raw'!$B$6:$AC$104))))</f>
        <v>0</v>
      </c>
      <c r="N61" s="252" cm="1">
        <f t="array" ref="N61">IF(ISERROR(_xlfn.XLOOKUP(N$5,'QB_Funds Analysis raw'!$B$5:$AC$5, _xlfn.XLOOKUP($A61,'QB_Funds Analysis raw'!$A$6:$A$104,'QB_Funds Analysis raw'!$B$6:$AC$104))),0,(_xlfn.XLOOKUP(N$5,'QB_Funds Analysis raw'!$B$5:$AC$5, _xlfn.XLOOKUP($A61,'QB_Funds Analysis raw'!$A$6:$A$104,'QB_Funds Analysis raw'!$B$6:$AC$104))))</f>
        <v>0</v>
      </c>
      <c r="O61" s="252" cm="1">
        <f t="array" ref="O61">IF(ISERROR(_xlfn.XLOOKUP(O$5,'QB_Funds Analysis raw'!$B$5:$AC$5, _xlfn.XLOOKUP($A61,'QB_Funds Analysis raw'!$A$6:$A$104,'QB_Funds Analysis raw'!$B$6:$AC$104))),0,(_xlfn.XLOOKUP(O$5,'QB_Funds Analysis raw'!$B$5:$AC$5, _xlfn.XLOOKUP($A61,'QB_Funds Analysis raw'!$A$6:$A$104,'QB_Funds Analysis raw'!$B$6:$AC$104))))</f>
        <v>0</v>
      </c>
      <c r="P61" s="142" cm="1">
        <f t="array" ref="P61">IF(ISERROR(_xlfn.XLOOKUP(P$5,'QB_Funds Analysis raw'!$B$5:$AC$5, _xlfn.XLOOKUP($A61,'QB_Funds Analysis raw'!$A$6:$A$104,'QB_Funds Analysis raw'!$B$6:$AC$104))),0,(_xlfn.XLOOKUP(P$5,'QB_Funds Analysis raw'!$B$5:$AC$5, _xlfn.XLOOKUP($A61,'QB_Funds Analysis raw'!$A$6:$A$104,'QB_Funds Analysis raw'!$B$6:$AC$104))))</f>
        <v>0</v>
      </c>
      <c r="Q61" s="247" cm="1">
        <f t="array" ref="Q61">IF(ISERROR(_xlfn.XLOOKUP(Q$5,'QB_Funds Analysis raw'!$B$5:$AC$5, _xlfn.XLOOKUP($A61,'QB_Funds Analysis raw'!$A$6:$A$104,'QB_Funds Analysis raw'!$B$6:$AC$104))),0,(_xlfn.XLOOKUP(Q$5,'QB_Funds Analysis raw'!$B$5:$AC$5, _xlfn.XLOOKUP($A61,'QB_Funds Analysis raw'!$A$6:$A$104,'QB_Funds Analysis raw'!$B$6:$AC$104))))</f>
        <v>0</v>
      </c>
      <c r="R61" s="142" cm="1">
        <f t="array" ref="R61">IF(ISERROR(_xlfn.XLOOKUP(R$5,'QB_Funds Analysis raw'!$B$5:$AC$5, _xlfn.XLOOKUP($A61,'QB_Funds Analysis raw'!$A$6:$A$104,'QB_Funds Analysis raw'!$B$6:$AC$104))),0,(_xlfn.XLOOKUP(R$5,'QB_Funds Analysis raw'!$B$5:$AC$5, _xlfn.XLOOKUP($A61,'QB_Funds Analysis raw'!$A$6:$A$104,'QB_Funds Analysis raw'!$B$6:$AC$104))))</f>
        <v>0</v>
      </c>
      <c r="S61" s="142" cm="1">
        <f t="array" ref="S61">IF(ISERROR(_xlfn.XLOOKUP(S$5,'QB_Funds Analysis raw'!$B$5:$AC$5, _xlfn.XLOOKUP($A61,'QB_Funds Analysis raw'!$A$6:$A$104,'QB_Funds Analysis raw'!$B$6:$AC$104))),0,(_xlfn.XLOOKUP(S$5,'QB_Funds Analysis raw'!$B$5:$AC$5, _xlfn.XLOOKUP($A61,'QB_Funds Analysis raw'!$A$6:$A$104,'QB_Funds Analysis raw'!$B$6:$AC$104))))</f>
        <v>0</v>
      </c>
      <c r="T61" s="142" cm="1">
        <f t="array" ref="T61">IF(ISERROR(_xlfn.XLOOKUP(T$5,'QB_Funds Analysis raw'!$B$5:$AC$5, _xlfn.XLOOKUP($A61,'QB_Funds Analysis raw'!$A$6:$A$104,'QB_Funds Analysis raw'!$B$6:$AC$104))),0,(_xlfn.XLOOKUP(T$5,'QB_Funds Analysis raw'!$B$5:$AC$5, _xlfn.XLOOKUP($A61,'QB_Funds Analysis raw'!$A$6:$A$104,'QB_Funds Analysis raw'!$B$6:$AC$104))))</f>
        <v>0</v>
      </c>
      <c r="U61" s="142" cm="1">
        <f t="array" ref="U61">IF(ISERROR(_xlfn.XLOOKUP(U$5,'QB_Funds Analysis raw'!$B$5:$AC$5, _xlfn.XLOOKUP($A61,'QB_Funds Analysis raw'!$A$6:$A$104,'QB_Funds Analysis raw'!$B$6:$AC$104))),0,(_xlfn.XLOOKUP(U$5,'QB_Funds Analysis raw'!$B$5:$AC$5, _xlfn.XLOOKUP($A61,'QB_Funds Analysis raw'!$A$6:$A$104,'QB_Funds Analysis raw'!$B$6:$AC$104))))</f>
        <v>0</v>
      </c>
      <c r="V61" s="142" cm="1">
        <f t="array" ref="V61">IF(ISERROR(_xlfn.XLOOKUP(V$5,'QB_Funds Analysis raw'!$B$5:$AC$5, _xlfn.XLOOKUP($A61,'QB_Funds Analysis raw'!$A$6:$A$104,'QB_Funds Analysis raw'!$B$6:$AC$104))),0,(_xlfn.XLOOKUP(V$5,'QB_Funds Analysis raw'!$B$5:$AC$5, _xlfn.XLOOKUP($A61,'QB_Funds Analysis raw'!$A$6:$A$104,'QB_Funds Analysis raw'!$B$6:$AC$104))))</f>
        <v>0</v>
      </c>
      <c r="W61" s="142" cm="1">
        <f t="array" ref="W61">IF(ISERROR(_xlfn.XLOOKUP(W$5,'QB_Funds Analysis raw'!$B$5:$AC$5, _xlfn.XLOOKUP($A61,'QB_Funds Analysis raw'!$A$6:$A$104,'QB_Funds Analysis raw'!$B$6:$AC$104))),0,(_xlfn.XLOOKUP(W$5,'QB_Funds Analysis raw'!$B$5:$AC$5, _xlfn.XLOOKUP($A61,'QB_Funds Analysis raw'!$A$6:$A$104,'QB_Funds Analysis raw'!$B$6:$AC$104))))</f>
        <v>0</v>
      </c>
      <c r="X61" s="142" cm="1">
        <f t="array" ref="X61">IF(ISERROR(_xlfn.XLOOKUP(X$5,'QB_Funds Analysis raw'!$B$5:$AC$5, _xlfn.XLOOKUP($A61,'QB_Funds Analysis raw'!$A$6:$A$104,'QB_Funds Analysis raw'!$B$6:$AC$104))),0,(_xlfn.XLOOKUP(X$5,'QB_Funds Analysis raw'!$B$5:$AC$5, _xlfn.XLOOKUP($A61,'QB_Funds Analysis raw'!$A$6:$A$104,'QB_Funds Analysis raw'!$B$6:$AC$104))))</f>
        <v>0</v>
      </c>
      <c r="Y61" s="142" cm="1">
        <f t="array" ref="Y61">IF(ISERROR(_xlfn.XLOOKUP(Y$5,'QB_Funds Analysis raw'!$B$5:$AC$5, _xlfn.XLOOKUP($A61,'QB_Funds Analysis raw'!$A$6:$A$104,'QB_Funds Analysis raw'!$B$6:$AC$104))),0,(_xlfn.XLOOKUP(Y$5,'QB_Funds Analysis raw'!$B$5:$AC$5, _xlfn.XLOOKUP($A61,'QB_Funds Analysis raw'!$A$6:$A$104,'QB_Funds Analysis raw'!$B$6:$AC$104))))</f>
        <v>0</v>
      </c>
      <c r="Z61" s="142" cm="1">
        <f t="array" ref="Z61">IF(ISERROR(_xlfn.XLOOKUP(Z$5,'QB_Funds Analysis raw'!$B$5:$AC$5, _xlfn.XLOOKUP($A61,'QB_Funds Analysis raw'!$A$6:$A$104,'QB_Funds Analysis raw'!$B$6:$AC$104))),0,(_xlfn.XLOOKUP(Z$5,'QB_Funds Analysis raw'!$B$5:$AC$5, _xlfn.XLOOKUP($A61,'QB_Funds Analysis raw'!$A$6:$A$104,'QB_Funds Analysis raw'!$B$6:$AC$104))))</f>
        <v>0</v>
      </c>
      <c r="AA61" s="142" cm="1">
        <f t="array" ref="AA61">IF(ISERROR(_xlfn.XLOOKUP(AA$5,'QB_Funds Analysis raw'!$B$5:$AC$5, _xlfn.XLOOKUP($A61,'QB_Funds Analysis raw'!$A$6:$A$104,'QB_Funds Analysis raw'!$B$6:$AC$104))),0,(_xlfn.XLOOKUP(AA$5,'QB_Funds Analysis raw'!$B$5:$AC$5, _xlfn.XLOOKUP($A61,'QB_Funds Analysis raw'!$A$6:$A$104,'QB_Funds Analysis raw'!$B$6:$AC$104))))</f>
        <v>0</v>
      </c>
      <c r="AB61" s="142" cm="1">
        <f t="array" ref="AB61">IF(ISERROR(_xlfn.XLOOKUP(AB$5,'QB_Funds Analysis raw'!$B$5:$AC$5, _xlfn.XLOOKUP($A61,'QB_Funds Analysis raw'!$A$6:$A$104,'QB_Funds Analysis raw'!$B$6:$AC$104))),0,(_xlfn.XLOOKUP(AB$5,'QB_Funds Analysis raw'!$B$5:$AC$5, _xlfn.XLOOKUP($A61,'QB_Funds Analysis raw'!$A$6:$A$104,'QB_Funds Analysis raw'!$B$6:$AC$104))))</f>
        <v>1323.6</v>
      </c>
      <c r="AC61" s="142" cm="1">
        <f t="array" ref="AC61">IF(ISERROR(_xlfn.XLOOKUP(AC$5,'QB_Funds Analysis raw'!$B$5:$AC$5, _xlfn.XLOOKUP($A61,'QB_Funds Analysis raw'!$A$6:$A$104,'QB_Funds Analysis raw'!$B$6:$AC$104))),0,(_xlfn.XLOOKUP(AC$5,'QB_Funds Analysis raw'!$B$5:$AC$5, _xlfn.XLOOKUP($A61,'QB_Funds Analysis raw'!$A$6:$A$104,'QB_Funds Analysis raw'!$B$6:$AC$104))))</f>
        <v>1323.6</v>
      </c>
      <c r="AD61" s="167">
        <f t="shared" si="13"/>
        <v>1323.6</v>
      </c>
      <c r="AE61" s="167">
        <f t="shared" si="4"/>
        <v>0</v>
      </c>
    </row>
    <row r="62" spans="1:31" ht="20.25" customHeight="1" x14ac:dyDescent="0.25">
      <c r="A62" s="2" t="s">
        <v>466</v>
      </c>
      <c r="B62" s="142" cm="1">
        <f t="array" ref="B62">IF(ISERROR(_xlfn.XLOOKUP(B$5,'QB_Funds Analysis raw'!$B$5:$AC$5, _xlfn.XLOOKUP($A62,'QB_Funds Analysis raw'!$A$6:$A$104,'QB_Funds Analysis raw'!$B$6:$AC$104))),0,(_xlfn.XLOOKUP(B$5,'QB_Funds Analysis raw'!$B$5:$AC$5, _xlfn.XLOOKUP($A62,'QB_Funds Analysis raw'!$A$6:$A$104,'QB_Funds Analysis raw'!$B$6:$AC$104))))</f>
        <v>0</v>
      </c>
      <c r="C62" s="142" cm="1">
        <f t="array" ref="C62">IF(ISERROR(_xlfn.XLOOKUP(C$5,'QB_Funds Analysis raw'!$B$5:$AC$5, _xlfn.XLOOKUP($A62,'QB_Funds Analysis raw'!$A$6:$A$104,'QB_Funds Analysis raw'!$B$6:$AC$104))),0,(_xlfn.XLOOKUP(C$5,'QB_Funds Analysis raw'!$B$5:$AC$5, _xlfn.XLOOKUP($A62,'QB_Funds Analysis raw'!$A$6:$A$104,'QB_Funds Analysis raw'!$B$6:$AC$104))))</f>
        <v>0</v>
      </c>
      <c r="D62" s="252" cm="1">
        <f t="array" ref="D62">IF(ISERROR(_xlfn.XLOOKUP(D$5,'QB_Funds Analysis raw'!$B$5:$AC$5, _xlfn.XLOOKUP($A62,'QB_Funds Analysis raw'!$A$6:$A$104,'QB_Funds Analysis raw'!$B$6:$AC$104))),0,(_xlfn.XLOOKUP(D$5,'QB_Funds Analysis raw'!$B$5:$AC$5, _xlfn.XLOOKUP($A62,'QB_Funds Analysis raw'!$A$6:$A$104,'QB_Funds Analysis raw'!$B$6:$AC$104))))</f>
        <v>0</v>
      </c>
      <c r="E62" s="142" cm="1">
        <f t="array" ref="E62">IF(ISERROR(_xlfn.XLOOKUP(E$5,'QB_Funds Analysis raw'!$B$5:$AC$5, _xlfn.XLOOKUP($A62,'QB_Funds Analysis raw'!$A$6:$A$104,'QB_Funds Analysis raw'!$B$6:$AC$104))),0,(_xlfn.XLOOKUP(E$5,'QB_Funds Analysis raw'!$B$5:$AC$5, _xlfn.XLOOKUP($A62,'QB_Funds Analysis raw'!$A$6:$A$104,'QB_Funds Analysis raw'!$B$6:$AC$104))))</f>
        <v>0</v>
      </c>
      <c r="F62" s="142" cm="1">
        <f t="array" ref="F62">IF(ISERROR(_xlfn.XLOOKUP(F$5,'QB_Funds Analysis raw'!$B$5:$AC$5, _xlfn.XLOOKUP($A62,'QB_Funds Analysis raw'!$A$6:$A$104,'QB_Funds Analysis raw'!$B$6:$AC$104))),0,(_xlfn.XLOOKUP(F$5,'QB_Funds Analysis raw'!$B$5:$AC$5, _xlfn.XLOOKUP($A62,'QB_Funds Analysis raw'!$A$6:$A$104,'QB_Funds Analysis raw'!$B$6:$AC$104))))</f>
        <v>818.94</v>
      </c>
      <c r="G62" s="142" cm="1">
        <f t="array" ref="G62">IF(ISERROR(_xlfn.XLOOKUP(G$5,'QB_Funds Analysis raw'!$B$5:$AC$5, _xlfn.XLOOKUP($A62,'QB_Funds Analysis raw'!$A$6:$A$104,'QB_Funds Analysis raw'!$B$6:$AC$104))),0,(_xlfn.XLOOKUP(G$5,'QB_Funds Analysis raw'!$B$5:$AC$5, _xlfn.XLOOKUP($A62,'QB_Funds Analysis raw'!$A$6:$A$104,'QB_Funds Analysis raw'!$B$6:$AC$104))))</f>
        <v>0</v>
      </c>
      <c r="H62" s="142" cm="1">
        <f t="array" ref="H62">IF(ISERROR(_xlfn.XLOOKUP(H$5,'QB_Funds Analysis raw'!$B$5:$AC$5, _xlfn.XLOOKUP($A62,'QB_Funds Analysis raw'!$A$6:$A$104,'QB_Funds Analysis raw'!$B$6:$AC$104))),0,(_xlfn.XLOOKUP(H$5,'QB_Funds Analysis raw'!$B$5:$AC$5, _xlfn.XLOOKUP($A62,'QB_Funds Analysis raw'!$A$6:$A$104,'QB_Funds Analysis raw'!$B$6:$AC$104))))</f>
        <v>0</v>
      </c>
      <c r="I62" s="142" cm="1">
        <f t="array" ref="I62">IF(ISERROR(_xlfn.XLOOKUP(I$5,'QB_Funds Analysis raw'!$B$5:$AC$5, _xlfn.XLOOKUP($A62,'QB_Funds Analysis raw'!$A$6:$A$104,'QB_Funds Analysis raw'!$B$6:$AC$104))),0,(_xlfn.XLOOKUP(I$5,'QB_Funds Analysis raw'!$B$5:$AC$5, _xlfn.XLOOKUP($A62,'QB_Funds Analysis raw'!$A$6:$A$104,'QB_Funds Analysis raw'!$B$6:$AC$104))))</f>
        <v>0</v>
      </c>
      <c r="J62" s="142" cm="1">
        <f t="array" ref="J62">IF(ISERROR(_xlfn.XLOOKUP(J$5,'QB_Funds Analysis raw'!$B$5:$AC$5, _xlfn.XLOOKUP($A62,'QB_Funds Analysis raw'!$A$6:$A$104,'QB_Funds Analysis raw'!$B$6:$AC$104))),0,(_xlfn.XLOOKUP(J$5,'QB_Funds Analysis raw'!$B$5:$AC$5, _xlfn.XLOOKUP($A62,'QB_Funds Analysis raw'!$A$6:$A$104,'QB_Funds Analysis raw'!$B$6:$AC$104))))</f>
        <v>818.94</v>
      </c>
      <c r="K62" s="252" cm="1">
        <f t="array" ref="K62">IF(ISERROR(_xlfn.XLOOKUP(K$5,'QB_Funds Analysis raw'!$B$5:$AC$5, _xlfn.XLOOKUP($A62,'QB_Funds Analysis raw'!$A$6:$A$104,'QB_Funds Analysis raw'!$B$6:$AC$104))),0,(_xlfn.XLOOKUP(K$5,'QB_Funds Analysis raw'!$B$5:$AC$5, _xlfn.XLOOKUP($A62,'QB_Funds Analysis raw'!$A$6:$A$104,'QB_Funds Analysis raw'!$B$6:$AC$104))))</f>
        <v>0</v>
      </c>
      <c r="L62" s="142" cm="1">
        <f t="array" ref="L62">IF(ISERROR(_xlfn.XLOOKUP(L$5,'QB_Funds Analysis raw'!$B$5:$AC$5, _xlfn.XLOOKUP($A62,'QB_Funds Analysis raw'!$A$6:$A$104,'QB_Funds Analysis raw'!$B$6:$AC$104))),0,(_xlfn.XLOOKUP(L$5,'QB_Funds Analysis raw'!$B$5:$AC$5, _xlfn.XLOOKUP($A62,'QB_Funds Analysis raw'!$A$6:$A$104,'QB_Funds Analysis raw'!$B$6:$AC$104))))</f>
        <v>0</v>
      </c>
      <c r="M62" s="142" cm="1">
        <f t="array" ref="M62">IF(ISERROR(_xlfn.XLOOKUP(M$5,'QB_Funds Analysis raw'!$B$5:$AC$5, _xlfn.XLOOKUP($A62,'QB_Funds Analysis raw'!$A$6:$A$104,'QB_Funds Analysis raw'!$B$6:$AC$104))),0,(_xlfn.XLOOKUP(M$5,'QB_Funds Analysis raw'!$B$5:$AC$5, _xlfn.XLOOKUP($A62,'QB_Funds Analysis raw'!$A$6:$A$104,'QB_Funds Analysis raw'!$B$6:$AC$104))))</f>
        <v>0</v>
      </c>
      <c r="N62" s="252" cm="1">
        <f t="array" ref="N62">IF(ISERROR(_xlfn.XLOOKUP(N$5,'QB_Funds Analysis raw'!$B$5:$AC$5, _xlfn.XLOOKUP($A62,'QB_Funds Analysis raw'!$A$6:$A$104,'QB_Funds Analysis raw'!$B$6:$AC$104))),0,(_xlfn.XLOOKUP(N$5,'QB_Funds Analysis raw'!$B$5:$AC$5, _xlfn.XLOOKUP($A62,'QB_Funds Analysis raw'!$A$6:$A$104,'QB_Funds Analysis raw'!$B$6:$AC$104))))</f>
        <v>0</v>
      </c>
      <c r="O62" s="252" cm="1">
        <f t="array" ref="O62">IF(ISERROR(_xlfn.XLOOKUP(O$5,'QB_Funds Analysis raw'!$B$5:$AC$5, _xlfn.XLOOKUP($A62,'QB_Funds Analysis raw'!$A$6:$A$104,'QB_Funds Analysis raw'!$B$6:$AC$104))),0,(_xlfn.XLOOKUP(O$5,'QB_Funds Analysis raw'!$B$5:$AC$5, _xlfn.XLOOKUP($A62,'QB_Funds Analysis raw'!$A$6:$A$104,'QB_Funds Analysis raw'!$B$6:$AC$104))))</f>
        <v>0</v>
      </c>
      <c r="P62" s="142" cm="1">
        <f t="array" ref="P62">IF(ISERROR(_xlfn.XLOOKUP(P$5,'QB_Funds Analysis raw'!$B$5:$AC$5, _xlfn.XLOOKUP($A62,'QB_Funds Analysis raw'!$A$6:$A$104,'QB_Funds Analysis raw'!$B$6:$AC$104))),0,(_xlfn.XLOOKUP(P$5,'QB_Funds Analysis raw'!$B$5:$AC$5, _xlfn.XLOOKUP($A62,'QB_Funds Analysis raw'!$A$6:$A$104,'QB_Funds Analysis raw'!$B$6:$AC$104))))</f>
        <v>0</v>
      </c>
      <c r="Q62" s="247" cm="1">
        <f t="array" ref="Q62">IF(ISERROR(_xlfn.XLOOKUP(Q$5,'QB_Funds Analysis raw'!$B$5:$AC$5, _xlfn.XLOOKUP($A62,'QB_Funds Analysis raw'!$A$6:$A$104,'QB_Funds Analysis raw'!$B$6:$AC$104))),0,(_xlfn.XLOOKUP(Q$5,'QB_Funds Analysis raw'!$B$5:$AC$5, _xlfn.XLOOKUP($A62,'QB_Funds Analysis raw'!$A$6:$A$104,'QB_Funds Analysis raw'!$B$6:$AC$104))))</f>
        <v>818.94</v>
      </c>
      <c r="R62" s="142" cm="1">
        <f t="array" ref="R62">IF(ISERROR(_xlfn.XLOOKUP(R$5,'QB_Funds Analysis raw'!$B$5:$AC$5, _xlfn.XLOOKUP($A62,'QB_Funds Analysis raw'!$A$6:$A$104,'QB_Funds Analysis raw'!$B$6:$AC$104))),0,(_xlfn.XLOOKUP(R$5,'QB_Funds Analysis raw'!$B$5:$AC$5, _xlfn.XLOOKUP($A62,'QB_Funds Analysis raw'!$A$6:$A$104,'QB_Funds Analysis raw'!$B$6:$AC$104))))</f>
        <v>0</v>
      </c>
      <c r="S62" s="142" cm="1">
        <f t="array" ref="S62">IF(ISERROR(_xlfn.XLOOKUP(S$5,'QB_Funds Analysis raw'!$B$5:$AC$5, _xlfn.XLOOKUP($A62,'QB_Funds Analysis raw'!$A$6:$A$104,'QB_Funds Analysis raw'!$B$6:$AC$104))),0,(_xlfn.XLOOKUP(S$5,'QB_Funds Analysis raw'!$B$5:$AC$5, _xlfn.XLOOKUP($A62,'QB_Funds Analysis raw'!$A$6:$A$104,'QB_Funds Analysis raw'!$B$6:$AC$104))))</f>
        <v>0</v>
      </c>
      <c r="T62" s="142" cm="1">
        <f t="array" ref="T62">IF(ISERROR(_xlfn.XLOOKUP(T$5,'QB_Funds Analysis raw'!$B$5:$AC$5, _xlfn.XLOOKUP($A62,'QB_Funds Analysis raw'!$A$6:$A$104,'QB_Funds Analysis raw'!$B$6:$AC$104))),0,(_xlfn.XLOOKUP(T$5,'QB_Funds Analysis raw'!$B$5:$AC$5, _xlfn.XLOOKUP($A62,'QB_Funds Analysis raw'!$A$6:$A$104,'QB_Funds Analysis raw'!$B$6:$AC$104))))</f>
        <v>0</v>
      </c>
      <c r="U62" s="142" cm="1">
        <f t="array" ref="U62">IF(ISERROR(_xlfn.XLOOKUP(U$5,'QB_Funds Analysis raw'!$B$5:$AC$5, _xlfn.XLOOKUP($A62,'QB_Funds Analysis raw'!$A$6:$A$104,'QB_Funds Analysis raw'!$B$6:$AC$104))),0,(_xlfn.XLOOKUP(U$5,'QB_Funds Analysis raw'!$B$5:$AC$5, _xlfn.XLOOKUP($A62,'QB_Funds Analysis raw'!$A$6:$A$104,'QB_Funds Analysis raw'!$B$6:$AC$104))))</f>
        <v>0</v>
      </c>
      <c r="V62" s="142" cm="1">
        <f t="array" ref="V62">IF(ISERROR(_xlfn.XLOOKUP(V$5,'QB_Funds Analysis raw'!$B$5:$AC$5, _xlfn.XLOOKUP($A62,'QB_Funds Analysis raw'!$A$6:$A$104,'QB_Funds Analysis raw'!$B$6:$AC$104))),0,(_xlfn.XLOOKUP(V$5,'QB_Funds Analysis raw'!$B$5:$AC$5, _xlfn.XLOOKUP($A62,'QB_Funds Analysis raw'!$A$6:$A$104,'QB_Funds Analysis raw'!$B$6:$AC$104))))</f>
        <v>0</v>
      </c>
      <c r="W62" s="142" cm="1">
        <f t="array" ref="W62">IF(ISERROR(_xlfn.XLOOKUP(W$5,'QB_Funds Analysis raw'!$B$5:$AC$5, _xlfn.XLOOKUP($A62,'QB_Funds Analysis raw'!$A$6:$A$104,'QB_Funds Analysis raw'!$B$6:$AC$104))),0,(_xlfn.XLOOKUP(W$5,'QB_Funds Analysis raw'!$B$5:$AC$5, _xlfn.XLOOKUP($A62,'QB_Funds Analysis raw'!$A$6:$A$104,'QB_Funds Analysis raw'!$B$6:$AC$104))))</f>
        <v>0</v>
      </c>
      <c r="X62" s="142" cm="1">
        <f t="array" ref="X62">IF(ISERROR(_xlfn.XLOOKUP(X$5,'QB_Funds Analysis raw'!$B$5:$AC$5, _xlfn.XLOOKUP($A62,'QB_Funds Analysis raw'!$A$6:$A$104,'QB_Funds Analysis raw'!$B$6:$AC$104))),0,(_xlfn.XLOOKUP(X$5,'QB_Funds Analysis raw'!$B$5:$AC$5, _xlfn.XLOOKUP($A62,'QB_Funds Analysis raw'!$A$6:$A$104,'QB_Funds Analysis raw'!$B$6:$AC$104))))</f>
        <v>0</v>
      </c>
      <c r="Y62" s="142" cm="1">
        <f t="array" ref="Y62">IF(ISERROR(_xlfn.XLOOKUP(Y$5,'QB_Funds Analysis raw'!$B$5:$AC$5, _xlfn.XLOOKUP($A62,'QB_Funds Analysis raw'!$A$6:$A$104,'QB_Funds Analysis raw'!$B$6:$AC$104))),0,(_xlfn.XLOOKUP(Y$5,'QB_Funds Analysis raw'!$B$5:$AC$5, _xlfn.XLOOKUP($A62,'QB_Funds Analysis raw'!$A$6:$A$104,'QB_Funds Analysis raw'!$B$6:$AC$104))))</f>
        <v>0</v>
      </c>
      <c r="Z62" s="142" cm="1">
        <f t="array" ref="Z62">IF(ISERROR(_xlfn.XLOOKUP(Z$5,'QB_Funds Analysis raw'!$B$5:$AC$5, _xlfn.XLOOKUP($A62,'QB_Funds Analysis raw'!$A$6:$A$104,'QB_Funds Analysis raw'!$B$6:$AC$104))),0,(_xlfn.XLOOKUP(Z$5,'QB_Funds Analysis raw'!$B$5:$AC$5, _xlfn.XLOOKUP($A62,'QB_Funds Analysis raw'!$A$6:$A$104,'QB_Funds Analysis raw'!$B$6:$AC$104))))</f>
        <v>0</v>
      </c>
      <c r="AA62" s="142" cm="1">
        <f t="array" ref="AA62">IF(ISERROR(_xlfn.XLOOKUP(AA$5,'QB_Funds Analysis raw'!$B$5:$AC$5, _xlfn.XLOOKUP($A62,'QB_Funds Analysis raw'!$A$6:$A$104,'QB_Funds Analysis raw'!$B$6:$AC$104))),0,(_xlfn.XLOOKUP(AA$5,'QB_Funds Analysis raw'!$B$5:$AC$5, _xlfn.XLOOKUP($A62,'QB_Funds Analysis raw'!$A$6:$A$104,'QB_Funds Analysis raw'!$B$6:$AC$104))))</f>
        <v>0</v>
      </c>
      <c r="AB62" s="142" cm="1">
        <f t="array" ref="AB62">IF(ISERROR(_xlfn.XLOOKUP(AB$5,'QB_Funds Analysis raw'!$B$5:$AC$5, _xlfn.XLOOKUP($A62,'QB_Funds Analysis raw'!$A$6:$A$104,'QB_Funds Analysis raw'!$B$6:$AC$104))),0,(_xlfn.XLOOKUP(AB$5,'QB_Funds Analysis raw'!$B$5:$AC$5, _xlfn.XLOOKUP($A62,'QB_Funds Analysis raw'!$A$6:$A$104,'QB_Funds Analysis raw'!$B$6:$AC$104))))</f>
        <v>510.21</v>
      </c>
      <c r="AC62" s="142" cm="1">
        <f t="array" ref="AC62">IF(ISERROR(_xlfn.XLOOKUP(AC$5,'QB_Funds Analysis raw'!$B$5:$AC$5, _xlfn.XLOOKUP($A62,'QB_Funds Analysis raw'!$A$6:$A$104,'QB_Funds Analysis raw'!$B$6:$AC$104))),0,(_xlfn.XLOOKUP(AC$5,'QB_Funds Analysis raw'!$B$5:$AC$5, _xlfn.XLOOKUP($A62,'QB_Funds Analysis raw'!$A$6:$A$104,'QB_Funds Analysis raw'!$B$6:$AC$104))))</f>
        <v>1329.15</v>
      </c>
      <c r="AD62" s="167">
        <f t="shared" si="13"/>
        <v>1329.15</v>
      </c>
      <c r="AE62" s="167">
        <f t="shared" si="4"/>
        <v>0</v>
      </c>
    </row>
    <row r="63" spans="1:31" ht="20.25" customHeight="1" x14ac:dyDescent="0.25">
      <c r="A63" s="2" t="s">
        <v>64</v>
      </c>
      <c r="B63" s="142" cm="1">
        <f t="array" ref="B63">IF(ISERROR(_xlfn.XLOOKUP(B$5,'QB_Funds Analysis raw'!$B$5:$AC$5, _xlfn.XLOOKUP($A63,'QB_Funds Analysis raw'!$A$6:$A$104,'QB_Funds Analysis raw'!$B$6:$AC$104))),0,(_xlfn.XLOOKUP(B$5,'QB_Funds Analysis raw'!$B$5:$AC$5, _xlfn.XLOOKUP($A63,'QB_Funds Analysis raw'!$A$6:$A$104,'QB_Funds Analysis raw'!$B$6:$AC$104))))</f>
        <v>0</v>
      </c>
      <c r="C63" s="142" cm="1">
        <f t="array" ref="C63">IF(ISERROR(_xlfn.XLOOKUP(C$5,'QB_Funds Analysis raw'!$B$5:$AC$5, _xlfn.XLOOKUP($A63,'QB_Funds Analysis raw'!$A$6:$A$104,'QB_Funds Analysis raw'!$B$6:$AC$104))),0,(_xlfn.XLOOKUP(C$5,'QB_Funds Analysis raw'!$B$5:$AC$5, _xlfn.XLOOKUP($A63,'QB_Funds Analysis raw'!$A$6:$A$104,'QB_Funds Analysis raw'!$B$6:$AC$104))))</f>
        <v>0</v>
      </c>
      <c r="D63" s="252" cm="1">
        <f t="array" ref="D63">IF(ISERROR(_xlfn.XLOOKUP(D$5,'QB_Funds Analysis raw'!$B$5:$AC$5, _xlfn.XLOOKUP($A63,'QB_Funds Analysis raw'!$A$6:$A$104,'QB_Funds Analysis raw'!$B$6:$AC$104))),0,(_xlfn.XLOOKUP(D$5,'QB_Funds Analysis raw'!$B$5:$AC$5, _xlfn.XLOOKUP($A63,'QB_Funds Analysis raw'!$A$6:$A$104,'QB_Funds Analysis raw'!$B$6:$AC$104))))</f>
        <v>0</v>
      </c>
      <c r="E63" s="142" cm="1">
        <f t="array" ref="E63">IF(ISERROR(_xlfn.XLOOKUP(E$5,'QB_Funds Analysis raw'!$B$5:$AC$5, _xlfn.XLOOKUP($A63,'QB_Funds Analysis raw'!$A$6:$A$104,'QB_Funds Analysis raw'!$B$6:$AC$104))),0,(_xlfn.XLOOKUP(E$5,'QB_Funds Analysis raw'!$B$5:$AC$5, _xlfn.XLOOKUP($A63,'QB_Funds Analysis raw'!$A$6:$A$104,'QB_Funds Analysis raw'!$B$6:$AC$104))))</f>
        <v>0</v>
      </c>
      <c r="F63" s="142" cm="1">
        <f t="array" ref="F63">IF(ISERROR(_xlfn.XLOOKUP(F$5,'QB_Funds Analysis raw'!$B$5:$AC$5, _xlfn.XLOOKUP($A63,'QB_Funds Analysis raw'!$A$6:$A$104,'QB_Funds Analysis raw'!$B$6:$AC$104))),0,(_xlfn.XLOOKUP(F$5,'QB_Funds Analysis raw'!$B$5:$AC$5, _xlfn.XLOOKUP($A63,'QB_Funds Analysis raw'!$A$6:$A$104,'QB_Funds Analysis raw'!$B$6:$AC$104))))</f>
        <v>0</v>
      </c>
      <c r="G63" s="142" cm="1">
        <f t="array" ref="G63">IF(ISERROR(_xlfn.XLOOKUP(G$5,'QB_Funds Analysis raw'!$B$5:$AC$5, _xlfn.XLOOKUP($A63,'QB_Funds Analysis raw'!$A$6:$A$104,'QB_Funds Analysis raw'!$B$6:$AC$104))),0,(_xlfn.XLOOKUP(G$5,'QB_Funds Analysis raw'!$B$5:$AC$5, _xlfn.XLOOKUP($A63,'QB_Funds Analysis raw'!$A$6:$A$104,'QB_Funds Analysis raw'!$B$6:$AC$104))))</f>
        <v>0</v>
      </c>
      <c r="H63" s="142" cm="1">
        <f t="array" ref="H63">IF(ISERROR(_xlfn.XLOOKUP(H$5,'QB_Funds Analysis raw'!$B$5:$AC$5, _xlfn.XLOOKUP($A63,'QB_Funds Analysis raw'!$A$6:$A$104,'QB_Funds Analysis raw'!$B$6:$AC$104))),0,(_xlfn.XLOOKUP(H$5,'QB_Funds Analysis raw'!$B$5:$AC$5, _xlfn.XLOOKUP($A63,'QB_Funds Analysis raw'!$A$6:$A$104,'QB_Funds Analysis raw'!$B$6:$AC$104))))</f>
        <v>0</v>
      </c>
      <c r="I63" s="142" cm="1">
        <f t="array" ref="I63">IF(ISERROR(_xlfn.XLOOKUP(I$5,'QB_Funds Analysis raw'!$B$5:$AC$5, _xlfn.XLOOKUP($A63,'QB_Funds Analysis raw'!$A$6:$A$104,'QB_Funds Analysis raw'!$B$6:$AC$104))),0,(_xlfn.XLOOKUP(I$5,'QB_Funds Analysis raw'!$B$5:$AC$5, _xlfn.XLOOKUP($A63,'QB_Funds Analysis raw'!$A$6:$A$104,'QB_Funds Analysis raw'!$B$6:$AC$104))))</f>
        <v>0</v>
      </c>
      <c r="J63" s="142" cm="1">
        <f t="array" ref="J63">IF(ISERROR(_xlfn.XLOOKUP(J$5,'QB_Funds Analysis raw'!$B$5:$AC$5, _xlfn.XLOOKUP($A63,'QB_Funds Analysis raw'!$A$6:$A$104,'QB_Funds Analysis raw'!$B$6:$AC$104))),0,(_xlfn.XLOOKUP(J$5,'QB_Funds Analysis raw'!$B$5:$AC$5, _xlfn.XLOOKUP($A63,'QB_Funds Analysis raw'!$A$6:$A$104,'QB_Funds Analysis raw'!$B$6:$AC$104))))</f>
        <v>0</v>
      </c>
      <c r="K63" s="252" cm="1">
        <f t="array" ref="K63">IF(ISERROR(_xlfn.XLOOKUP(K$5,'QB_Funds Analysis raw'!$B$5:$AC$5, _xlfn.XLOOKUP($A63,'QB_Funds Analysis raw'!$A$6:$A$104,'QB_Funds Analysis raw'!$B$6:$AC$104))),0,(_xlfn.XLOOKUP(K$5,'QB_Funds Analysis raw'!$B$5:$AC$5, _xlfn.XLOOKUP($A63,'QB_Funds Analysis raw'!$A$6:$A$104,'QB_Funds Analysis raw'!$B$6:$AC$104))))</f>
        <v>0</v>
      </c>
      <c r="L63" s="142" cm="1">
        <f t="array" ref="L63">IF(ISERROR(_xlfn.XLOOKUP(L$5,'QB_Funds Analysis raw'!$B$5:$AC$5, _xlfn.XLOOKUP($A63,'QB_Funds Analysis raw'!$A$6:$A$104,'QB_Funds Analysis raw'!$B$6:$AC$104))),0,(_xlfn.XLOOKUP(L$5,'QB_Funds Analysis raw'!$B$5:$AC$5, _xlfn.XLOOKUP($A63,'QB_Funds Analysis raw'!$A$6:$A$104,'QB_Funds Analysis raw'!$B$6:$AC$104))))</f>
        <v>0</v>
      </c>
      <c r="M63" s="142" cm="1">
        <f t="array" ref="M63">IF(ISERROR(_xlfn.XLOOKUP(M$5,'QB_Funds Analysis raw'!$B$5:$AC$5, _xlfn.XLOOKUP($A63,'QB_Funds Analysis raw'!$A$6:$A$104,'QB_Funds Analysis raw'!$B$6:$AC$104))),0,(_xlfn.XLOOKUP(M$5,'QB_Funds Analysis raw'!$B$5:$AC$5, _xlfn.XLOOKUP($A63,'QB_Funds Analysis raw'!$A$6:$A$104,'QB_Funds Analysis raw'!$B$6:$AC$104))))</f>
        <v>0</v>
      </c>
      <c r="N63" s="252" cm="1">
        <f t="array" ref="N63">IF(ISERROR(_xlfn.XLOOKUP(N$5,'QB_Funds Analysis raw'!$B$5:$AC$5, _xlfn.XLOOKUP($A63,'QB_Funds Analysis raw'!$A$6:$A$104,'QB_Funds Analysis raw'!$B$6:$AC$104))),0,(_xlfn.XLOOKUP(N$5,'QB_Funds Analysis raw'!$B$5:$AC$5, _xlfn.XLOOKUP($A63,'QB_Funds Analysis raw'!$A$6:$A$104,'QB_Funds Analysis raw'!$B$6:$AC$104))))</f>
        <v>0</v>
      </c>
      <c r="O63" s="252" cm="1">
        <f t="array" ref="O63">IF(ISERROR(_xlfn.XLOOKUP(O$5,'QB_Funds Analysis raw'!$B$5:$AC$5, _xlfn.XLOOKUP($A63,'QB_Funds Analysis raw'!$A$6:$A$104,'QB_Funds Analysis raw'!$B$6:$AC$104))),0,(_xlfn.XLOOKUP(O$5,'QB_Funds Analysis raw'!$B$5:$AC$5, _xlfn.XLOOKUP($A63,'QB_Funds Analysis raw'!$A$6:$A$104,'QB_Funds Analysis raw'!$B$6:$AC$104))))</f>
        <v>0</v>
      </c>
      <c r="P63" s="142" cm="1">
        <f t="array" ref="P63">IF(ISERROR(_xlfn.XLOOKUP(P$5,'QB_Funds Analysis raw'!$B$5:$AC$5, _xlfn.XLOOKUP($A63,'QB_Funds Analysis raw'!$A$6:$A$104,'QB_Funds Analysis raw'!$B$6:$AC$104))),0,(_xlfn.XLOOKUP(P$5,'QB_Funds Analysis raw'!$B$5:$AC$5, _xlfn.XLOOKUP($A63,'QB_Funds Analysis raw'!$A$6:$A$104,'QB_Funds Analysis raw'!$B$6:$AC$104))))</f>
        <v>0</v>
      </c>
      <c r="Q63" s="247" cm="1">
        <f t="array" ref="Q63">IF(ISERROR(_xlfn.XLOOKUP(Q$5,'QB_Funds Analysis raw'!$B$5:$AC$5, _xlfn.XLOOKUP($A63,'QB_Funds Analysis raw'!$A$6:$A$104,'QB_Funds Analysis raw'!$B$6:$AC$104))),0,(_xlfn.XLOOKUP(Q$5,'QB_Funds Analysis raw'!$B$5:$AC$5, _xlfn.XLOOKUP($A63,'QB_Funds Analysis raw'!$A$6:$A$104,'QB_Funds Analysis raw'!$B$6:$AC$104))))</f>
        <v>0</v>
      </c>
      <c r="R63" s="142" cm="1">
        <f t="array" ref="R63">IF(ISERROR(_xlfn.XLOOKUP(R$5,'QB_Funds Analysis raw'!$B$5:$AC$5, _xlfn.XLOOKUP($A63,'QB_Funds Analysis raw'!$A$6:$A$104,'QB_Funds Analysis raw'!$B$6:$AC$104))),0,(_xlfn.XLOOKUP(R$5,'QB_Funds Analysis raw'!$B$5:$AC$5, _xlfn.XLOOKUP($A63,'QB_Funds Analysis raw'!$A$6:$A$104,'QB_Funds Analysis raw'!$B$6:$AC$104))))</f>
        <v>0</v>
      </c>
      <c r="S63" s="142" cm="1">
        <f t="array" ref="S63">IF(ISERROR(_xlfn.XLOOKUP(S$5,'QB_Funds Analysis raw'!$B$5:$AC$5, _xlfn.XLOOKUP($A63,'QB_Funds Analysis raw'!$A$6:$A$104,'QB_Funds Analysis raw'!$B$6:$AC$104))),0,(_xlfn.XLOOKUP(S$5,'QB_Funds Analysis raw'!$B$5:$AC$5, _xlfn.XLOOKUP($A63,'QB_Funds Analysis raw'!$A$6:$A$104,'QB_Funds Analysis raw'!$B$6:$AC$104))))</f>
        <v>0</v>
      </c>
      <c r="T63" s="142" cm="1">
        <f t="array" ref="T63">IF(ISERROR(_xlfn.XLOOKUP(T$5,'QB_Funds Analysis raw'!$B$5:$AC$5, _xlfn.XLOOKUP($A63,'QB_Funds Analysis raw'!$A$6:$A$104,'QB_Funds Analysis raw'!$B$6:$AC$104))),0,(_xlfn.XLOOKUP(T$5,'QB_Funds Analysis raw'!$B$5:$AC$5, _xlfn.XLOOKUP($A63,'QB_Funds Analysis raw'!$A$6:$A$104,'QB_Funds Analysis raw'!$B$6:$AC$104))))</f>
        <v>0</v>
      </c>
      <c r="U63" s="142" cm="1">
        <f t="array" ref="U63">IF(ISERROR(_xlfn.XLOOKUP(U$5,'QB_Funds Analysis raw'!$B$5:$AC$5, _xlfn.XLOOKUP($A63,'QB_Funds Analysis raw'!$A$6:$A$104,'QB_Funds Analysis raw'!$B$6:$AC$104))),0,(_xlfn.XLOOKUP(U$5,'QB_Funds Analysis raw'!$B$5:$AC$5, _xlfn.XLOOKUP($A63,'QB_Funds Analysis raw'!$A$6:$A$104,'QB_Funds Analysis raw'!$B$6:$AC$104))))</f>
        <v>0</v>
      </c>
      <c r="V63" s="142" cm="1">
        <f t="array" ref="V63">IF(ISERROR(_xlfn.XLOOKUP(V$5,'QB_Funds Analysis raw'!$B$5:$AC$5, _xlfn.XLOOKUP($A63,'QB_Funds Analysis raw'!$A$6:$A$104,'QB_Funds Analysis raw'!$B$6:$AC$104))),0,(_xlfn.XLOOKUP(V$5,'QB_Funds Analysis raw'!$B$5:$AC$5, _xlfn.XLOOKUP($A63,'QB_Funds Analysis raw'!$A$6:$A$104,'QB_Funds Analysis raw'!$B$6:$AC$104))))</f>
        <v>0</v>
      </c>
      <c r="W63" s="142" cm="1">
        <f t="array" ref="W63">IF(ISERROR(_xlfn.XLOOKUP(W$5,'QB_Funds Analysis raw'!$B$5:$AC$5, _xlfn.XLOOKUP($A63,'QB_Funds Analysis raw'!$A$6:$A$104,'QB_Funds Analysis raw'!$B$6:$AC$104))),0,(_xlfn.XLOOKUP(W$5,'QB_Funds Analysis raw'!$B$5:$AC$5, _xlfn.XLOOKUP($A63,'QB_Funds Analysis raw'!$A$6:$A$104,'QB_Funds Analysis raw'!$B$6:$AC$104))))</f>
        <v>0</v>
      </c>
      <c r="X63" s="142" cm="1">
        <f t="array" ref="X63">IF(ISERROR(_xlfn.XLOOKUP(X$5,'QB_Funds Analysis raw'!$B$5:$AC$5, _xlfn.XLOOKUP($A63,'QB_Funds Analysis raw'!$A$6:$A$104,'QB_Funds Analysis raw'!$B$6:$AC$104))),0,(_xlfn.XLOOKUP(X$5,'QB_Funds Analysis raw'!$B$5:$AC$5, _xlfn.XLOOKUP($A63,'QB_Funds Analysis raw'!$A$6:$A$104,'QB_Funds Analysis raw'!$B$6:$AC$104))))</f>
        <v>0</v>
      </c>
      <c r="Y63" s="142" cm="1">
        <f t="array" ref="Y63">IF(ISERROR(_xlfn.XLOOKUP(Y$5,'QB_Funds Analysis raw'!$B$5:$AC$5, _xlfn.XLOOKUP($A63,'QB_Funds Analysis raw'!$A$6:$A$104,'QB_Funds Analysis raw'!$B$6:$AC$104))),0,(_xlfn.XLOOKUP(Y$5,'QB_Funds Analysis raw'!$B$5:$AC$5, _xlfn.XLOOKUP($A63,'QB_Funds Analysis raw'!$A$6:$A$104,'QB_Funds Analysis raw'!$B$6:$AC$104))))</f>
        <v>0</v>
      </c>
      <c r="Z63" s="142" cm="1">
        <f t="array" ref="Z63">IF(ISERROR(_xlfn.XLOOKUP(Z$5,'QB_Funds Analysis raw'!$B$5:$AC$5, _xlfn.XLOOKUP($A63,'QB_Funds Analysis raw'!$A$6:$A$104,'QB_Funds Analysis raw'!$B$6:$AC$104))),0,(_xlfn.XLOOKUP(Z$5,'QB_Funds Analysis raw'!$B$5:$AC$5, _xlfn.XLOOKUP($A63,'QB_Funds Analysis raw'!$A$6:$A$104,'QB_Funds Analysis raw'!$B$6:$AC$104))))</f>
        <v>0</v>
      </c>
      <c r="AA63" s="142" cm="1">
        <f t="array" ref="AA63">IF(ISERROR(_xlfn.XLOOKUP(AA$5,'QB_Funds Analysis raw'!$B$5:$AC$5, _xlfn.XLOOKUP($A63,'QB_Funds Analysis raw'!$A$6:$A$104,'QB_Funds Analysis raw'!$B$6:$AC$104))),0,(_xlfn.XLOOKUP(AA$5,'QB_Funds Analysis raw'!$B$5:$AC$5, _xlfn.XLOOKUP($A63,'QB_Funds Analysis raw'!$A$6:$A$104,'QB_Funds Analysis raw'!$B$6:$AC$104))))</f>
        <v>0</v>
      </c>
      <c r="AB63" s="142" cm="1">
        <f t="array" ref="AB63">IF(ISERROR(_xlfn.XLOOKUP(AB$5,'QB_Funds Analysis raw'!$B$5:$AC$5, _xlfn.XLOOKUP($A63,'QB_Funds Analysis raw'!$A$6:$A$104,'QB_Funds Analysis raw'!$B$6:$AC$104))),0,(_xlfn.XLOOKUP(AB$5,'QB_Funds Analysis raw'!$B$5:$AC$5, _xlfn.XLOOKUP($A63,'QB_Funds Analysis raw'!$A$6:$A$104,'QB_Funds Analysis raw'!$B$6:$AC$104))))</f>
        <v>6677.91</v>
      </c>
      <c r="AC63" s="142" cm="1">
        <f t="array" ref="AC63">IF(ISERROR(_xlfn.XLOOKUP(AC$5,'QB_Funds Analysis raw'!$B$5:$AC$5, _xlfn.XLOOKUP($A63,'QB_Funds Analysis raw'!$A$6:$A$104,'QB_Funds Analysis raw'!$B$6:$AC$104))),0,(_xlfn.XLOOKUP(AC$5,'QB_Funds Analysis raw'!$B$5:$AC$5, _xlfn.XLOOKUP($A63,'QB_Funds Analysis raw'!$A$6:$A$104,'QB_Funds Analysis raw'!$B$6:$AC$104))))</f>
        <v>6677.91</v>
      </c>
      <c r="AD63" s="167">
        <f t="shared" si="13"/>
        <v>6677.91</v>
      </c>
      <c r="AE63" s="167">
        <f t="shared" si="4"/>
        <v>0</v>
      </c>
    </row>
    <row r="64" spans="1:31" ht="20.25" customHeight="1" x14ac:dyDescent="0.25">
      <c r="A64" s="134" t="s">
        <v>65</v>
      </c>
      <c r="B64" s="151">
        <f>(((B59)+(B60))+(B61))+(B63)+B62</f>
        <v>0</v>
      </c>
      <c r="C64" s="151">
        <f t="shared" ref="C64:AC64" si="19">(((C59)+(C60))+(C61))+(C63)+C62</f>
        <v>0</v>
      </c>
      <c r="D64" s="253">
        <f t="shared" si="19"/>
        <v>0</v>
      </c>
      <c r="E64" s="151">
        <f t="shared" si="19"/>
        <v>0</v>
      </c>
      <c r="F64" s="151">
        <f t="shared" si="19"/>
        <v>818.94</v>
      </c>
      <c r="G64" s="151">
        <f t="shared" si="19"/>
        <v>0</v>
      </c>
      <c r="H64" s="151">
        <f t="shared" si="19"/>
        <v>0</v>
      </c>
      <c r="I64" s="151">
        <f t="shared" si="19"/>
        <v>0</v>
      </c>
      <c r="J64" s="151">
        <f t="shared" si="19"/>
        <v>818.94</v>
      </c>
      <c r="K64" s="253">
        <f t="shared" si="19"/>
        <v>0</v>
      </c>
      <c r="L64" s="151">
        <f t="shared" si="19"/>
        <v>0</v>
      </c>
      <c r="M64" s="151">
        <f t="shared" si="19"/>
        <v>0</v>
      </c>
      <c r="N64" s="253">
        <f t="shared" si="19"/>
        <v>0</v>
      </c>
      <c r="O64" s="253">
        <f t="shared" si="19"/>
        <v>0</v>
      </c>
      <c r="P64" s="151">
        <f t="shared" si="19"/>
        <v>0</v>
      </c>
      <c r="Q64" s="244">
        <f t="shared" si="19"/>
        <v>818.94</v>
      </c>
      <c r="R64" s="151">
        <f t="shared" si="19"/>
        <v>0</v>
      </c>
      <c r="S64" s="151">
        <f t="shared" si="19"/>
        <v>0</v>
      </c>
      <c r="T64" s="151">
        <f t="shared" si="19"/>
        <v>0</v>
      </c>
      <c r="U64" s="151">
        <f t="shared" si="19"/>
        <v>0</v>
      </c>
      <c r="V64" s="151">
        <f t="shared" si="19"/>
        <v>0</v>
      </c>
      <c r="W64" s="151">
        <f t="shared" si="19"/>
        <v>0</v>
      </c>
      <c r="X64" s="151">
        <f t="shared" si="19"/>
        <v>0</v>
      </c>
      <c r="Y64" s="151">
        <f t="shared" si="19"/>
        <v>0</v>
      </c>
      <c r="Z64" s="151">
        <f t="shared" si="19"/>
        <v>0</v>
      </c>
      <c r="AA64" s="151">
        <f t="shared" si="19"/>
        <v>0</v>
      </c>
      <c r="AB64" s="151">
        <f t="shared" si="19"/>
        <v>10896.899999999998</v>
      </c>
      <c r="AC64" s="151">
        <f t="shared" si="19"/>
        <v>11715.839999999998</v>
      </c>
      <c r="AD64" s="167">
        <f t="shared" si="13"/>
        <v>11715.839999999998</v>
      </c>
      <c r="AE64" s="167">
        <f t="shared" si="4"/>
        <v>0</v>
      </c>
    </row>
    <row r="65" spans="1:31" ht="20.25" customHeight="1" x14ac:dyDescent="0.25">
      <c r="A65" s="2" t="s">
        <v>66</v>
      </c>
      <c r="B65" s="142" cm="1">
        <f t="array" ref="B65">IF(ISERROR(_xlfn.XLOOKUP(B$5,'QB_Funds Analysis raw'!$B$5:$AC$5, _xlfn.XLOOKUP($A65,'QB_Funds Analysis raw'!$A$6:$A$104,'QB_Funds Analysis raw'!$B$6:$AC$104))),0,(_xlfn.XLOOKUP(B$5,'QB_Funds Analysis raw'!$B$5:$AC$5, _xlfn.XLOOKUP($A65,'QB_Funds Analysis raw'!$A$6:$A$104,'QB_Funds Analysis raw'!$B$6:$AC$104))))</f>
        <v>0</v>
      </c>
      <c r="C65" s="142" cm="1">
        <f t="array" ref="C65">IF(ISERROR(_xlfn.XLOOKUP(C$5,'QB_Funds Analysis raw'!$B$5:$AC$5, _xlfn.XLOOKUP($A65,'QB_Funds Analysis raw'!$A$6:$A$104,'QB_Funds Analysis raw'!$B$6:$AC$104))),0,(_xlfn.XLOOKUP(C$5,'QB_Funds Analysis raw'!$B$5:$AC$5, _xlfn.XLOOKUP($A65,'QB_Funds Analysis raw'!$A$6:$A$104,'QB_Funds Analysis raw'!$B$6:$AC$104))))</f>
        <v>0</v>
      </c>
      <c r="D65" s="252" cm="1">
        <f t="array" ref="D65">IF(ISERROR(_xlfn.XLOOKUP(D$5,'QB_Funds Analysis raw'!$B$5:$AC$5, _xlfn.XLOOKUP($A65,'QB_Funds Analysis raw'!$A$6:$A$104,'QB_Funds Analysis raw'!$B$6:$AC$104))),0,(_xlfn.XLOOKUP(D$5,'QB_Funds Analysis raw'!$B$5:$AC$5, _xlfn.XLOOKUP($A65,'QB_Funds Analysis raw'!$A$6:$A$104,'QB_Funds Analysis raw'!$B$6:$AC$104))))</f>
        <v>0</v>
      </c>
      <c r="E65" s="142" cm="1">
        <f t="array" ref="E65">IF(ISERROR(_xlfn.XLOOKUP(E$5,'QB_Funds Analysis raw'!$B$5:$AC$5, _xlfn.XLOOKUP($A65,'QB_Funds Analysis raw'!$A$6:$A$104,'QB_Funds Analysis raw'!$B$6:$AC$104))),0,(_xlfn.XLOOKUP(E$5,'QB_Funds Analysis raw'!$B$5:$AC$5, _xlfn.XLOOKUP($A65,'QB_Funds Analysis raw'!$A$6:$A$104,'QB_Funds Analysis raw'!$B$6:$AC$104))))</f>
        <v>0</v>
      </c>
      <c r="F65" s="142" cm="1">
        <f t="array" ref="F65">IF(ISERROR(_xlfn.XLOOKUP(F$5,'QB_Funds Analysis raw'!$B$5:$AC$5, _xlfn.XLOOKUP($A65,'QB_Funds Analysis raw'!$A$6:$A$104,'QB_Funds Analysis raw'!$B$6:$AC$104))),0,(_xlfn.XLOOKUP(F$5,'QB_Funds Analysis raw'!$B$5:$AC$5, _xlfn.XLOOKUP($A65,'QB_Funds Analysis raw'!$A$6:$A$104,'QB_Funds Analysis raw'!$B$6:$AC$104))))</f>
        <v>20.47</v>
      </c>
      <c r="G65" s="142" cm="1">
        <f t="array" ref="G65">IF(ISERROR(_xlfn.XLOOKUP(G$5,'QB_Funds Analysis raw'!$B$5:$AC$5, _xlfn.XLOOKUP($A65,'QB_Funds Analysis raw'!$A$6:$A$104,'QB_Funds Analysis raw'!$B$6:$AC$104))),0,(_xlfn.XLOOKUP(G$5,'QB_Funds Analysis raw'!$B$5:$AC$5, _xlfn.XLOOKUP($A65,'QB_Funds Analysis raw'!$A$6:$A$104,'QB_Funds Analysis raw'!$B$6:$AC$104))))</f>
        <v>0</v>
      </c>
      <c r="H65" s="142" cm="1">
        <f t="array" ref="H65">IF(ISERROR(_xlfn.XLOOKUP(H$5,'QB_Funds Analysis raw'!$B$5:$AC$5, _xlfn.XLOOKUP($A65,'QB_Funds Analysis raw'!$A$6:$A$104,'QB_Funds Analysis raw'!$B$6:$AC$104))),0,(_xlfn.XLOOKUP(H$5,'QB_Funds Analysis raw'!$B$5:$AC$5, _xlfn.XLOOKUP($A65,'QB_Funds Analysis raw'!$A$6:$A$104,'QB_Funds Analysis raw'!$B$6:$AC$104))))</f>
        <v>0</v>
      </c>
      <c r="I65" s="142" cm="1">
        <f t="array" ref="I65">IF(ISERROR(_xlfn.XLOOKUP(I$5,'QB_Funds Analysis raw'!$B$5:$AC$5, _xlfn.XLOOKUP($A65,'QB_Funds Analysis raw'!$A$6:$A$104,'QB_Funds Analysis raw'!$B$6:$AC$104))),0,(_xlfn.XLOOKUP(I$5,'QB_Funds Analysis raw'!$B$5:$AC$5, _xlfn.XLOOKUP($A65,'QB_Funds Analysis raw'!$A$6:$A$104,'QB_Funds Analysis raw'!$B$6:$AC$104))))</f>
        <v>0</v>
      </c>
      <c r="J65" s="142" cm="1">
        <f t="array" ref="J65">IF(ISERROR(_xlfn.XLOOKUP(J$5,'QB_Funds Analysis raw'!$B$5:$AC$5, _xlfn.XLOOKUP($A65,'QB_Funds Analysis raw'!$A$6:$A$104,'QB_Funds Analysis raw'!$B$6:$AC$104))),0,(_xlfn.XLOOKUP(J$5,'QB_Funds Analysis raw'!$B$5:$AC$5, _xlfn.XLOOKUP($A65,'QB_Funds Analysis raw'!$A$6:$A$104,'QB_Funds Analysis raw'!$B$6:$AC$104))))</f>
        <v>20.47</v>
      </c>
      <c r="K65" s="252" cm="1">
        <f t="array" ref="K65">IF(ISERROR(_xlfn.XLOOKUP(K$5,'QB_Funds Analysis raw'!$B$5:$AC$5, _xlfn.XLOOKUP($A65,'QB_Funds Analysis raw'!$A$6:$A$104,'QB_Funds Analysis raw'!$B$6:$AC$104))),0,(_xlfn.XLOOKUP(K$5,'QB_Funds Analysis raw'!$B$5:$AC$5, _xlfn.XLOOKUP($A65,'QB_Funds Analysis raw'!$A$6:$A$104,'QB_Funds Analysis raw'!$B$6:$AC$104))))</f>
        <v>0</v>
      </c>
      <c r="L65" s="142" cm="1">
        <f t="array" ref="L65">IF(ISERROR(_xlfn.XLOOKUP(L$5,'QB_Funds Analysis raw'!$B$5:$AC$5, _xlfn.XLOOKUP($A65,'QB_Funds Analysis raw'!$A$6:$A$104,'QB_Funds Analysis raw'!$B$6:$AC$104))),0,(_xlfn.XLOOKUP(L$5,'QB_Funds Analysis raw'!$B$5:$AC$5, _xlfn.XLOOKUP($A65,'QB_Funds Analysis raw'!$A$6:$A$104,'QB_Funds Analysis raw'!$B$6:$AC$104))))</f>
        <v>0</v>
      </c>
      <c r="M65" s="142" cm="1">
        <f t="array" ref="M65">IF(ISERROR(_xlfn.XLOOKUP(M$5,'QB_Funds Analysis raw'!$B$5:$AC$5, _xlfn.XLOOKUP($A65,'QB_Funds Analysis raw'!$A$6:$A$104,'QB_Funds Analysis raw'!$B$6:$AC$104))),0,(_xlfn.XLOOKUP(M$5,'QB_Funds Analysis raw'!$B$5:$AC$5, _xlfn.XLOOKUP($A65,'QB_Funds Analysis raw'!$A$6:$A$104,'QB_Funds Analysis raw'!$B$6:$AC$104))))</f>
        <v>0</v>
      </c>
      <c r="N65" s="252" cm="1">
        <f t="array" ref="N65">IF(ISERROR(_xlfn.XLOOKUP(N$5,'QB_Funds Analysis raw'!$B$5:$AC$5, _xlfn.XLOOKUP($A65,'QB_Funds Analysis raw'!$A$6:$A$104,'QB_Funds Analysis raw'!$B$6:$AC$104))),0,(_xlfn.XLOOKUP(N$5,'QB_Funds Analysis raw'!$B$5:$AC$5, _xlfn.XLOOKUP($A65,'QB_Funds Analysis raw'!$A$6:$A$104,'QB_Funds Analysis raw'!$B$6:$AC$104))))</f>
        <v>0</v>
      </c>
      <c r="O65" s="252" cm="1">
        <f t="array" ref="O65">IF(ISERROR(_xlfn.XLOOKUP(O$5,'QB_Funds Analysis raw'!$B$5:$AC$5, _xlfn.XLOOKUP($A65,'QB_Funds Analysis raw'!$A$6:$A$104,'QB_Funds Analysis raw'!$B$6:$AC$104))),0,(_xlfn.XLOOKUP(O$5,'QB_Funds Analysis raw'!$B$5:$AC$5, _xlfn.XLOOKUP($A65,'QB_Funds Analysis raw'!$A$6:$A$104,'QB_Funds Analysis raw'!$B$6:$AC$104))))</f>
        <v>0</v>
      </c>
      <c r="P65" s="142" cm="1">
        <f t="array" ref="P65">IF(ISERROR(_xlfn.XLOOKUP(P$5,'QB_Funds Analysis raw'!$B$5:$AC$5, _xlfn.XLOOKUP($A65,'QB_Funds Analysis raw'!$A$6:$A$104,'QB_Funds Analysis raw'!$B$6:$AC$104))),0,(_xlfn.XLOOKUP(P$5,'QB_Funds Analysis raw'!$B$5:$AC$5, _xlfn.XLOOKUP($A65,'QB_Funds Analysis raw'!$A$6:$A$104,'QB_Funds Analysis raw'!$B$6:$AC$104))))</f>
        <v>0</v>
      </c>
      <c r="Q65" s="247" cm="1">
        <f t="array" ref="Q65">IF(ISERROR(_xlfn.XLOOKUP(Q$5,'QB_Funds Analysis raw'!$B$5:$AC$5, _xlfn.XLOOKUP($A65,'QB_Funds Analysis raw'!$A$6:$A$104,'QB_Funds Analysis raw'!$B$6:$AC$104))),0,(_xlfn.XLOOKUP(Q$5,'QB_Funds Analysis raw'!$B$5:$AC$5, _xlfn.XLOOKUP($A65,'QB_Funds Analysis raw'!$A$6:$A$104,'QB_Funds Analysis raw'!$B$6:$AC$104))))</f>
        <v>20.47</v>
      </c>
      <c r="R65" s="142" cm="1">
        <f t="array" ref="R65">IF(ISERROR(_xlfn.XLOOKUP(R$5,'QB_Funds Analysis raw'!$B$5:$AC$5, _xlfn.XLOOKUP($A65,'QB_Funds Analysis raw'!$A$6:$A$104,'QB_Funds Analysis raw'!$B$6:$AC$104))),0,(_xlfn.XLOOKUP(R$5,'QB_Funds Analysis raw'!$B$5:$AC$5, _xlfn.XLOOKUP($A65,'QB_Funds Analysis raw'!$A$6:$A$104,'QB_Funds Analysis raw'!$B$6:$AC$104))))</f>
        <v>0</v>
      </c>
      <c r="S65" s="142" cm="1">
        <f t="array" ref="S65">IF(ISERROR(_xlfn.XLOOKUP(S$5,'QB_Funds Analysis raw'!$B$5:$AC$5, _xlfn.XLOOKUP($A65,'QB_Funds Analysis raw'!$A$6:$A$104,'QB_Funds Analysis raw'!$B$6:$AC$104))),0,(_xlfn.XLOOKUP(S$5,'QB_Funds Analysis raw'!$B$5:$AC$5, _xlfn.XLOOKUP($A65,'QB_Funds Analysis raw'!$A$6:$A$104,'QB_Funds Analysis raw'!$B$6:$AC$104))))</f>
        <v>0</v>
      </c>
      <c r="T65" s="142" cm="1">
        <f t="array" ref="T65">IF(ISERROR(_xlfn.XLOOKUP(T$5,'QB_Funds Analysis raw'!$B$5:$AC$5, _xlfn.XLOOKUP($A65,'QB_Funds Analysis raw'!$A$6:$A$104,'QB_Funds Analysis raw'!$B$6:$AC$104))),0,(_xlfn.XLOOKUP(T$5,'QB_Funds Analysis raw'!$B$5:$AC$5, _xlfn.XLOOKUP($A65,'QB_Funds Analysis raw'!$A$6:$A$104,'QB_Funds Analysis raw'!$B$6:$AC$104))))</f>
        <v>0</v>
      </c>
      <c r="U65" s="142" cm="1">
        <f t="array" ref="U65">IF(ISERROR(_xlfn.XLOOKUP(U$5,'QB_Funds Analysis raw'!$B$5:$AC$5, _xlfn.XLOOKUP($A65,'QB_Funds Analysis raw'!$A$6:$A$104,'QB_Funds Analysis raw'!$B$6:$AC$104))),0,(_xlfn.XLOOKUP(U$5,'QB_Funds Analysis raw'!$B$5:$AC$5, _xlfn.XLOOKUP($A65,'QB_Funds Analysis raw'!$A$6:$A$104,'QB_Funds Analysis raw'!$B$6:$AC$104))))</f>
        <v>0</v>
      </c>
      <c r="V65" s="142" cm="1">
        <f t="array" ref="V65">IF(ISERROR(_xlfn.XLOOKUP(V$5,'QB_Funds Analysis raw'!$B$5:$AC$5, _xlfn.XLOOKUP($A65,'QB_Funds Analysis raw'!$A$6:$A$104,'QB_Funds Analysis raw'!$B$6:$AC$104))),0,(_xlfn.XLOOKUP(V$5,'QB_Funds Analysis raw'!$B$5:$AC$5, _xlfn.XLOOKUP($A65,'QB_Funds Analysis raw'!$A$6:$A$104,'QB_Funds Analysis raw'!$B$6:$AC$104))))</f>
        <v>0</v>
      </c>
      <c r="W65" s="142" cm="1">
        <f t="array" ref="W65">IF(ISERROR(_xlfn.XLOOKUP(W$5,'QB_Funds Analysis raw'!$B$5:$AC$5, _xlfn.XLOOKUP($A65,'QB_Funds Analysis raw'!$A$6:$A$104,'QB_Funds Analysis raw'!$B$6:$AC$104))),0,(_xlfn.XLOOKUP(W$5,'QB_Funds Analysis raw'!$B$5:$AC$5, _xlfn.XLOOKUP($A65,'QB_Funds Analysis raw'!$A$6:$A$104,'QB_Funds Analysis raw'!$B$6:$AC$104))))</f>
        <v>0</v>
      </c>
      <c r="X65" s="142" cm="1">
        <f t="array" ref="X65">IF(ISERROR(_xlfn.XLOOKUP(X$5,'QB_Funds Analysis raw'!$B$5:$AC$5, _xlfn.XLOOKUP($A65,'QB_Funds Analysis raw'!$A$6:$A$104,'QB_Funds Analysis raw'!$B$6:$AC$104))),0,(_xlfn.XLOOKUP(X$5,'QB_Funds Analysis raw'!$B$5:$AC$5, _xlfn.XLOOKUP($A65,'QB_Funds Analysis raw'!$A$6:$A$104,'QB_Funds Analysis raw'!$B$6:$AC$104))))</f>
        <v>0</v>
      </c>
      <c r="Y65" s="142" cm="1">
        <f t="array" ref="Y65">IF(ISERROR(_xlfn.XLOOKUP(Y$5,'QB_Funds Analysis raw'!$B$5:$AC$5, _xlfn.XLOOKUP($A65,'QB_Funds Analysis raw'!$A$6:$A$104,'QB_Funds Analysis raw'!$B$6:$AC$104))),0,(_xlfn.XLOOKUP(Y$5,'QB_Funds Analysis raw'!$B$5:$AC$5, _xlfn.XLOOKUP($A65,'QB_Funds Analysis raw'!$A$6:$A$104,'QB_Funds Analysis raw'!$B$6:$AC$104))))</f>
        <v>0</v>
      </c>
      <c r="Z65" s="142" cm="1">
        <f t="array" ref="Z65">IF(ISERROR(_xlfn.XLOOKUP(Z$5,'QB_Funds Analysis raw'!$B$5:$AC$5, _xlfn.XLOOKUP($A65,'QB_Funds Analysis raw'!$A$6:$A$104,'QB_Funds Analysis raw'!$B$6:$AC$104))),0,(_xlfn.XLOOKUP(Z$5,'QB_Funds Analysis raw'!$B$5:$AC$5, _xlfn.XLOOKUP($A65,'QB_Funds Analysis raw'!$A$6:$A$104,'QB_Funds Analysis raw'!$B$6:$AC$104))))</f>
        <v>0</v>
      </c>
      <c r="AA65" s="142" cm="1">
        <f t="array" ref="AA65">IF(ISERROR(_xlfn.XLOOKUP(AA$5,'QB_Funds Analysis raw'!$B$5:$AC$5, _xlfn.XLOOKUP($A65,'QB_Funds Analysis raw'!$A$6:$A$104,'QB_Funds Analysis raw'!$B$6:$AC$104))),0,(_xlfn.XLOOKUP(AA$5,'QB_Funds Analysis raw'!$B$5:$AC$5, _xlfn.XLOOKUP($A65,'QB_Funds Analysis raw'!$A$6:$A$104,'QB_Funds Analysis raw'!$B$6:$AC$104))))</f>
        <v>0</v>
      </c>
      <c r="AB65" s="142" cm="1">
        <f t="array" ref="AB65">IF(ISERROR(_xlfn.XLOOKUP(AB$5,'QB_Funds Analysis raw'!$B$5:$AC$5, _xlfn.XLOOKUP($A65,'QB_Funds Analysis raw'!$A$6:$A$104,'QB_Funds Analysis raw'!$B$6:$AC$104))),0,(_xlfn.XLOOKUP(AB$5,'QB_Funds Analysis raw'!$B$5:$AC$5, _xlfn.XLOOKUP($A65,'QB_Funds Analysis raw'!$A$6:$A$104,'QB_Funds Analysis raw'!$B$6:$AC$104))))</f>
        <v>1114.58</v>
      </c>
      <c r="AC65" s="142" cm="1">
        <f t="array" ref="AC65">IF(ISERROR(_xlfn.XLOOKUP(AC$5,'QB_Funds Analysis raw'!$B$5:$AC$5, _xlfn.XLOOKUP($A65,'QB_Funds Analysis raw'!$A$6:$A$104,'QB_Funds Analysis raw'!$B$6:$AC$104))),0,(_xlfn.XLOOKUP(AC$5,'QB_Funds Analysis raw'!$B$5:$AC$5, _xlfn.XLOOKUP($A65,'QB_Funds Analysis raw'!$A$6:$A$104,'QB_Funds Analysis raw'!$B$6:$AC$104))))</f>
        <v>1135.05</v>
      </c>
      <c r="AD65" s="167">
        <f t="shared" si="13"/>
        <v>1135.05</v>
      </c>
      <c r="AE65" s="167">
        <f t="shared" si="4"/>
        <v>0</v>
      </c>
    </row>
    <row r="66" spans="1:31" ht="20.25" customHeight="1" x14ac:dyDescent="0.25">
      <c r="A66" s="2" t="s">
        <v>418</v>
      </c>
      <c r="B66" s="142" cm="1">
        <f t="array" ref="B66">IF(ISERROR(_xlfn.XLOOKUP(B$5,'QB_Funds Analysis raw'!$B$5:$AC$5, _xlfn.XLOOKUP($A66,'QB_Funds Analysis raw'!$A$6:$A$104,'QB_Funds Analysis raw'!$B$6:$AC$104))),0,(_xlfn.XLOOKUP(B$5,'QB_Funds Analysis raw'!$B$5:$AC$5, _xlfn.XLOOKUP($A66,'QB_Funds Analysis raw'!$A$6:$A$104,'QB_Funds Analysis raw'!$B$6:$AC$104))))</f>
        <v>0</v>
      </c>
      <c r="C66" s="142" cm="1">
        <f t="array" ref="C66">IF(ISERROR(_xlfn.XLOOKUP(C$5,'QB_Funds Analysis raw'!$B$5:$AC$5, _xlfn.XLOOKUP($A66,'QB_Funds Analysis raw'!$A$6:$A$104,'QB_Funds Analysis raw'!$B$6:$AC$104))),0,(_xlfn.XLOOKUP(C$5,'QB_Funds Analysis raw'!$B$5:$AC$5, _xlfn.XLOOKUP($A66,'QB_Funds Analysis raw'!$A$6:$A$104,'QB_Funds Analysis raw'!$B$6:$AC$104))))</f>
        <v>0</v>
      </c>
      <c r="D66" s="252" cm="1">
        <f t="array" ref="D66">IF(ISERROR(_xlfn.XLOOKUP(D$5,'QB_Funds Analysis raw'!$B$5:$AC$5, _xlfn.XLOOKUP($A66,'QB_Funds Analysis raw'!$A$6:$A$104,'QB_Funds Analysis raw'!$B$6:$AC$104))),0,(_xlfn.XLOOKUP(D$5,'QB_Funds Analysis raw'!$B$5:$AC$5, _xlfn.XLOOKUP($A66,'QB_Funds Analysis raw'!$A$6:$A$104,'QB_Funds Analysis raw'!$B$6:$AC$104))))</f>
        <v>0</v>
      </c>
      <c r="E66" s="142" cm="1">
        <f t="array" ref="E66">IF(ISERROR(_xlfn.XLOOKUP(E$5,'QB_Funds Analysis raw'!$B$5:$AC$5, _xlfn.XLOOKUP($A66,'QB_Funds Analysis raw'!$A$6:$A$104,'QB_Funds Analysis raw'!$B$6:$AC$104))),0,(_xlfn.XLOOKUP(E$5,'QB_Funds Analysis raw'!$B$5:$AC$5, _xlfn.XLOOKUP($A66,'QB_Funds Analysis raw'!$A$6:$A$104,'QB_Funds Analysis raw'!$B$6:$AC$104))))</f>
        <v>0</v>
      </c>
      <c r="F66" s="142" cm="1">
        <f t="array" ref="F66">IF(ISERROR(_xlfn.XLOOKUP(F$5,'QB_Funds Analysis raw'!$B$5:$AC$5, _xlfn.XLOOKUP($A66,'QB_Funds Analysis raw'!$A$6:$A$104,'QB_Funds Analysis raw'!$B$6:$AC$104))),0,(_xlfn.XLOOKUP(F$5,'QB_Funds Analysis raw'!$B$5:$AC$5, _xlfn.XLOOKUP($A66,'QB_Funds Analysis raw'!$A$6:$A$104,'QB_Funds Analysis raw'!$B$6:$AC$104))))</f>
        <v>0</v>
      </c>
      <c r="G66" s="142" cm="1">
        <f t="array" ref="G66">IF(ISERROR(_xlfn.XLOOKUP(G$5,'QB_Funds Analysis raw'!$B$5:$AC$5, _xlfn.XLOOKUP($A66,'QB_Funds Analysis raw'!$A$6:$A$104,'QB_Funds Analysis raw'!$B$6:$AC$104))),0,(_xlfn.XLOOKUP(G$5,'QB_Funds Analysis raw'!$B$5:$AC$5, _xlfn.XLOOKUP($A66,'QB_Funds Analysis raw'!$A$6:$A$104,'QB_Funds Analysis raw'!$B$6:$AC$104))))</f>
        <v>0</v>
      </c>
      <c r="H66" s="142" cm="1">
        <f t="array" ref="H66">IF(ISERROR(_xlfn.XLOOKUP(H$5,'QB_Funds Analysis raw'!$B$5:$AC$5, _xlfn.XLOOKUP($A66,'QB_Funds Analysis raw'!$A$6:$A$104,'QB_Funds Analysis raw'!$B$6:$AC$104))),0,(_xlfn.XLOOKUP(H$5,'QB_Funds Analysis raw'!$B$5:$AC$5, _xlfn.XLOOKUP($A66,'QB_Funds Analysis raw'!$A$6:$A$104,'QB_Funds Analysis raw'!$B$6:$AC$104))))</f>
        <v>0</v>
      </c>
      <c r="I66" s="142" cm="1">
        <f t="array" ref="I66">IF(ISERROR(_xlfn.XLOOKUP(I$5,'QB_Funds Analysis raw'!$B$5:$AC$5, _xlfn.XLOOKUP($A66,'QB_Funds Analysis raw'!$A$6:$A$104,'QB_Funds Analysis raw'!$B$6:$AC$104))),0,(_xlfn.XLOOKUP(I$5,'QB_Funds Analysis raw'!$B$5:$AC$5, _xlfn.XLOOKUP($A66,'QB_Funds Analysis raw'!$A$6:$A$104,'QB_Funds Analysis raw'!$B$6:$AC$104))))</f>
        <v>0</v>
      </c>
      <c r="J66" s="142" cm="1">
        <f t="array" ref="J66">IF(ISERROR(_xlfn.XLOOKUP(J$5,'QB_Funds Analysis raw'!$B$5:$AC$5, _xlfn.XLOOKUP($A66,'QB_Funds Analysis raw'!$A$6:$A$104,'QB_Funds Analysis raw'!$B$6:$AC$104))),0,(_xlfn.XLOOKUP(J$5,'QB_Funds Analysis raw'!$B$5:$AC$5, _xlfn.XLOOKUP($A66,'QB_Funds Analysis raw'!$A$6:$A$104,'QB_Funds Analysis raw'!$B$6:$AC$104))))</f>
        <v>0</v>
      </c>
      <c r="K66" s="252" cm="1">
        <f t="array" ref="K66">IF(ISERROR(_xlfn.XLOOKUP(K$5,'QB_Funds Analysis raw'!$B$5:$AC$5, _xlfn.XLOOKUP($A66,'QB_Funds Analysis raw'!$A$6:$A$104,'QB_Funds Analysis raw'!$B$6:$AC$104))),0,(_xlfn.XLOOKUP(K$5,'QB_Funds Analysis raw'!$B$5:$AC$5, _xlfn.XLOOKUP($A66,'QB_Funds Analysis raw'!$A$6:$A$104,'QB_Funds Analysis raw'!$B$6:$AC$104))))</f>
        <v>0</v>
      </c>
      <c r="L66" s="142" cm="1">
        <f t="array" ref="L66">IF(ISERROR(_xlfn.XLOOKUP(L$5,'QB_Funds Analysis raw'!$B$5:$AC$5, _xlfn.XLOOKUP($A66,'QB_Funds Analysis raw'!$A$6:$A$104,'QB_Funds Analysis raw'!$B$6:$AC$104))),0,(_xlfn.XLOOKUP(L$5,'QB_Funds Analysis raw'!$B$5:$AC$5, _xlfn.XLOOKUP($A66,'QB_Funds Analysis raw'!$A$6:$A$104,'QB_Funds Analysis raw'!$B$6:$AC$104))))</f>
        <v>0</v>
      </c>
      <c r="M66" s="142" cm="1">
        <f t="array" ref="M66">IF(ISERROR(_xlfn.XLOOKUP(M$5,'QB_Funds Analysis raw'!$B$5:$AC$5, _xlfn.XLOOKUP($A66,'QB_Funds Analysis raw'!$A$6:$A$104,'QB_Funds Analysis raw'!$B$6:$AC$104))),0,(_xlfn.XLOOKUP(M$5,'QB_Funds Analysis raw'!$B$5:$AC$5, _xlfn.XLOOKUP($A66,'QB_Funds Analysis raw'!$A$6:$A$104,'QB_Funds Analysis raw'!$B$6:$AC$104))))</f>
        <v>0</v>
      </c>
      <c r="N66" s="252" cm="1">
        <f t="array" ref="N66">IF(ISERROR(_xlfn.XLOOKUP(N$5,'QB_Funds Analysis raw'!$B$5:$AC$5, _xlfn.XLOOKUP($A66,'QB_Funds Analysis raw'!$A$6:$A$104,'QB_Funds Analysis raw'!$B$6:$AC$104))),0,(_xlfn.XLOOKUP(N$5,'QB_Funds Analysis raw'!$B$5:$AC$5, _xlfn.XLOOKUP($A66,'QB_Funds Analysis raw'!$A$6:$A$104,'QB_Funds Analysis raw'!$B$6:$AC$104))))</f>
        <v>0</v>
      </c>
      <c r="O66" s="252" cm="1">
        <f t="array" ref="O66">IF(ISERROR(_xlfn.XLOOKUP(O$5,'QB_Funds Analysis raw'!$B$5:$AC$5, _xlfn.XLOOKUP($A66,'QB_Funds Analysis raw'!$A$6:$A$104,'QB_Funds Analysis raw'!$B$6:$AC$104))),0,(_xlfn.XLOOKUP(O$5,'QB_Funds Analysis raw'!$B$5:$AC$5, _xlfn.XLOOKUP($A66,'QB_Funds Analysis raw'!$A$6:$A$104,'QB_Funds Analysis raw'!$B$6:$AC$104))))</f>
        <v>0</v>
      </c>
      <c r="P66" s="142" cm="1">
        <f t="array" ref="P66">IF(ISERROR(_xlfn.XLOOKUP(P$5,'QB_Funds Analysis raw'!$B$5:$AC$5, _xlfn.XLOOKUP($A66,'QB_Funds Analysis raw'!$A$6:$A$104,'QB_Funds Analysis raw'!$B$6:$AC$104))),0,(_xlfn.XLOOKUP(P$5,'QB_Funds Analysis raw'!$B$5:$AC$5, _xlfn.XLOOKUP($A66,'QB_Funds Analysis raw'!$A$6:$A$104,'QB_Funds Analysis raw'!$B$6:$AC$104))))</f>
        <v>0</v>
      </c>
      <c r="Q66" s="247" cm="1">
        <f t="array" ref="Q66">IF(ISERROR(_xlfn.XLOOKUP(Q$5,'QB_Funds Analysis raw'!$B$5:$AC$5, _xlfn.XLOOKUP($A66,'QB_Funds Analysis raw'!$A$6:$A$104,'QB_Funds Analysis raw'!$B$6:$AC$104))),0,(_xlfn.XLOOKUP(Q$5,'QB_Funds Analysis raw'!$B$5:$AC$5, _xlfn.XLOOKUP($A66,'QB_Funds Analysis raw'!$A$6:$A$104,'QB_Funds Analysis raw'!$B$6:$AC$104))))</f>
        <v>0</v>
      </c>
      <c r="R66" s="142" cm="1">
        <f t="array" ref="R66">IF(ISERROR(_xlfn.XLOOKUP(R$5,'QB_Funds Analysis raw'!$B$5:$AC$5, _xlfn.XLOOKUP($A66,'QB_Funds Analysis raw'!$A$6:$A$104,'QB_Funds Analysis raw'!$B$6:$AC$104))),0,(_xlfn.XLOOKUP(R$5,'QB_Funds Analysis raw'!$B$5:$AC$5, _xlfn.XLOOKUP($A66,'QB_Funds Analysis raw'!$A$6:$A$104,'QB_Funds Analysis raw'!$B$6:$AC$104))))</f>
        <v>0</v>
      </c>
      <c r="S66" s="142" cm="1">
        <f t="array" ref="S66">IF(ISERROR(_xlfn.XLOOKUP(S$5,'QB_Funds Analysis raw'!$B$5:$AC$5, _xlfn.XLOOKUP($A66,'QB_Funds Analysis raw'!$A$6:$A$104,'QB_Funds Analysis raw'!$B$6:$AC$104))),0,(_xlfn.XLOOKUP(S$5,'QB_Funds Analysis raw'!$B$5:$AC$5, _xlfn.XLOOKUP($A66,'QB_Funds Analysis raw'!$A$6:$A$104,'QB_Funds Analysis raw'!$B$6:$AC$104))))</f>
        <v>0</v>
      </c>
      <c r="T66" s="142" cm="1">
        <f t="array" ref="T66">IF(ISERROR(_xlfn.XLOOKUP(T$5,'QB_Funds Analysis raw'!$B$5:$AC$5, _xlfn.XLOOKUP($A66,'QB_Funds Analysis raw'!$A$6:$A$104,'QB_Funds Analysis raw'!$B$6:$AC$104))),0,(_xlfn.XLOOKUP(T$5,'QB_Funds Analysis raw'!$B$5:$AC$5, _xlfn.XLOOKUP($A66,'QB_Funds Analysis raw'!$A$6:$A$104,'QB_Funds Analysis raw'!$B$6:$AC$104))))</f>
        <v>0</v>
      </c>
      <c r="U66" s="142" cm="1">
        <f t="array" ref="U66">IF(ISERROR(_xlfn.XLOOKUP(U$5,'QB_Funds Analysis raw'!$B$5:$AC$5, _xlfn.XLOOKUP($A66,'QB_Funds Analysis raw'!$A$6:$A$104,'QB_Funds Analysis raw'!$B$6:$AC$104))),0,(_xlfn.XLOOKUP(U$5,'QB_Funds Analysis raw'!$B$5:$AC$5, _xlfn.XLOOKUP($A66,'QB_Funds Analysis raw'!$A$6:$A$104,'QB_Funds Analysis raw'!$B$6:$AC$104))))</f>
        <v>0</v>
      </c>
      <c r="V66" s="142" cm="1">
        <f t="array" ref="V66">IF(ISERROR(_xlfn.XLOOKUP(V$5,'QB_Funds Analysis raw'!$B$5:$AC$5, _xlfn.XLOOKUP($A66,'QB_Funds Analysis raw'!$A$6:$A$104,'QB_Funds Analysis raw'!$B$6:$AC$104))),0,(_xlfn.XLOOKUP(V$5,'QB_Funds Analysis raw'!$B$5:$AC$5, _xlfn.XLOOKUP($A66,'QB_Funds Analysis raw'!$A$6:$A$104,'QB_Funds Analysis raw'!$B$6:$AC$104))))</f>
        <v>0</v>
      </c>
      <c r="W66" s="142" cm="1">
        <f t="array" ref="W66">IF(ISERROR(_xlfn.XLOOKUP(W$5,'QB_Funds Analysis raw'!$B$5:$AC$5, _xlfn.XLOOKUP($A66,'QB_Funds Analysis raw'!$A$6:$A$104,'QB_Funds Analysis raw'!$B$6:$AC$104))),0,(_xlfn.XLOOKUP(W$5,'QB_Funds Analysis raw'!$B$5:$AC$5, _xlfn.XLOOKUP($A66,'QB_Funds Analysis raw'!$A$6:$A$104,'QB_Funds Analysis raw'!$B$6:$AC$104))))</f>
        <v>0</v>
      </c>
      <c r="X66" s="142" cm="1">
        <f t="array" ref="X66">IF(ISERROR(_xlfn.XLOOKUP(X$5,'QB_Funds Analysis raw'!$B$5:$AC$5, _xlfn.XLOOKUP($A66,'QB_Funds Analysis raw'!$A$6:$A$104,'QB_Funds Analysis raw'!$B$6:$AC$104))),0,(_xlfn.XLOOKUP(X$5,'QB_Funds Analysis raw'!$B$5:$AC$5, _xlfn.XLOOKUP($A66,'QB_Funds Analysis raw'!$A$6:$A$104,'QB_Funds Analysis raw'!$B$6:$AC$104))))</f>
        <v>0</v>
      </c>
      <c r="Y66" s="142" cm="1">
        <f t="array" ref="Y66">IF(ISERROR(_xlfn.XLOOKUP(Y$5,'QB_Funds Analysis raw'!$B$5:$AC$5, _xlfn.XLOOKUP($A66,'QB_Funds Analysis raw'!$A$6:$A$104,'QB_Funds Analysis raw'!$B$6:$AC$104))),0,(_xlfn.XLOOKUP(Y$5,'QB_Funds Analysis raw'!$B$5:$AC$5, _xlfn.XLOOKUP($A66,'QB_Funds Analysis raw'!$A$6:$A$104,'QB_Funds Analysis raw'!$B$6:$AC$104))))</f>
        <v>0</v>
      </c>
      <c r="Z66" s="142" cm="1">
        <f t="array" ref="Z66">IF(ISERROR(_xlfn.XLOOKUP(Z$5,'QB_Funds Analysis raw'!$B$5:$AC$5, _xlfn.XLOOKUP($A66,'QB_Funds Analysis raw'!$A$6:$A$104,'QB_Funds Analysis raw'!$B$6:$AC$104))),0,(_xlfn.XLOOKUP(Z$5,'QB_Funds Analysis raw'!$B$5:$AC$5, _xlfn.XLOOKUP($A66,'QB_Funds Analysis raw'!$A$6:$A$104,'QB_Funds Analysis raw'!$B$6:$AC$104))))</f>
        <v>0</v>
      </c>
      <c r="AA66" s="142" cm="1">
        <f t="array" ref="AA66">IF(ISERROR(_xlfn.XLOOKUP(AA$5,'QB_Funds Analysis raw'!$B$5:$AC$5, _xlfn.XLOOKUP($A66,'QB_Funds Analysis raw'!$A$6:$A$104,'QB_Funds Analysis raw'!$B$6:$AC$104))),0,(_xlfn.XLOOKUP(AA$5,'QB_Funds Analysis raw'!$B$5:$AC$5, _xlfn.XLOOKUP($A66,'QB_Funds Analysis raw'!$A$6:$A$104,'QB_Funds Analysis raw'!$B$6:$AC$104))))</f>
        <v>0</v>
      </c>
      <c r="AB66" s="142" cm="1">
        <f t="array" ref="AB66">IF(ISERROR(_xlfn.XLOOKUP(AB$5,'QB_Funds Analysis raw'!$B$5:$AC$5, _xlfn.XLOOKUP($A66,'QB_Funds Analysis raw'!$A$6:$A$104,'QB_Funds Analysis raw'!$B$6:$AC$104))),0,(_xlfn.XLOOKUP(AB$5,'QB_Funds Analysis raw'!$B$5:$AC$5, _xlfn.XLOOKUP($A66,'QB_Funds Analysis raw'!$A$6:$A$104,'QB_Funds Analysis raw'!$B$6:$AC$104))))</f>
        <v>0</v>
      </c>
      <c r="AC66" s="142" cm="1">
        <f t="array" ref="AC66">IF(ISERROR(_xlfn.XLOOKUP(AC$5,'QB_Funds Analysis raw'!$B$5:$AC$5, _xlfn.XLOOKUP($A66,'QB_Funds Analysis raw'!$A$6:$A$104,'QB_Funds Analysis raw'!$B$6:$AC$104))),0,(_xlfn.XLOOKUP(AC$5,'QB_Funds Analysis raw'!$B$5:$AC$5, _xlfn.XLOOKUP($A66,'QB_Funds Analysis raw'!$A$6:$A$104,'QB_Funds Analysis raw'!$B$6:$AC$104))))</f>
        <v>0</v>
      </c>
      <c r="AD66" s="167">
        <f t="shared" si="13"/>
        <v>0</v>
      </c>
      <c r="AE66" s="167">
        <f t="shared" si="4"/>
        <v>0</v>
      </c>
    </row>
    <row r="67" spans="1:31" ht="20.25" customHeight="1" x14ac:dyDescent="0.25">
      <c r="A67" s="135" t="s">
        <v>67</v>
      </c>
      <c r="B67" s="145">
        <f>((((((B49)+(B50))+(B56))+(B57))+(B58))+(B64))+(B65)+B66</f>
        <v>0</v>
      </c>
      <c r="C67" s="145">
        <f t="shared" ref="C67:AC67" si="20">((((((C49)+(C50))+(C56))+(C57))+(C58))+(C64))+(C65)+C66</f>
        <v>0</v>
      </c>
      <c r="D67" s="256">
        <f t="shared" si="20"/>
        <v>0</v>
      </c>
      <c r="E67" s="145">
        <f t="shared" si="20"/>
        <v>0</v>
      </c>
      <c r="F67" s="145">
        <f t="shared" si="20"/>
        <v>839.41000000000008</v>
      </c>
      <c r="G67" s="145">
        <f t="shared" si="20"/>
        <v>0</v>
      </c>
      <c r="H67" s="145">
        <f t="shared" si="20"/>
        <v>0</v>
      </c>
      <c r="I67" s="145">
        <f t="shared" si="20"/>
        <v>0</v>
      </c>
      <c r="J67" s="145">
        <f t="shared" si="20"/>
        <v>839.41000000000008</v>
      </c>
      <c r="K67" s="256">
        <f t="shared" si="20"/>
        <v>0</v>
      </c>
      <c r="L67" s="145">
        <f t="shared" si="20"/>
        <v>0</v>
      </c>
      <c r="M67" s="145">
        <f t="shared" si="20"/>
        <v>0</v>
      </c>
      <c r="N67" s="256">
        <f t="shared" si="20"/>
        <v>0</v>
      </c>
      <c r="O67" s="256">
        <f t="shared" si="20"/>
        <v>0</v>
      </c>
      <c r="P67" s="145">
        <f t="shared" si="20"/>
        <v>0</v>
      </c>
      <c r="Q67" s="244">
        <f t="shared" si="20"/>
        <v>839.41000000000008</v>
      </c>
      <c r="R67" s="145">
        <f t="shared" si="20"/>
        <v>0</v>
      </c>
      <c r="S67" s="145">
        <f t="shared" si="20"/>
        <v>0</v>
      </c>
      <c r="T67" s="145">
        <f t="shared" si="20"/>
        <v>0</v>
      </c>
      <c r="U67" s="145">
        <f t="shared" si="20"/>
        <v>0</v>
      </c>
      <c r="V67" s="145">
        <f t="shared" si="20"/>
        <v>0</v>
      </c>
      <c r="W67" s="145">
        <f t="shared" si="20"/>
        <v>0</v>
      </c>
      <c r="X67" s="145">
        <f t="shared" si="20"/>
        <v>0</v>
      </c>
      <c r="Y67" s="145">
        <f t="shared" si="20"/>
        <v>0</v>
      </c>
      <c r="Z67" s="145">
        <f t="shared" si="20"/>
        <v>0</v>
      </c>
      <c r="AA67" s="145">
        <f t="shared" si="20"/>
        <v>0</v>
      </c>
      <c r="AB67" s="145">
        <f t="shared" si="20"/>
        <v>26277.809999999998</v>
      </c>
      <c r="AC67" s="145">
        <f t="shared" si="20"/>
        <v>27117.219999999998</v>
      </c>
      <c r="AD67" s="167">
        <f t="shared" si="13"/>
        <v>27117.219999999998</v>
      </c>
      <c r="AE67" s="167">
        <f t="shared" si="4"/>
        <v>0</v>
      </c>
    </row>
    <row r="68" spans="1:31" ht="20.25" customHeight="1" x14ac:dyDescent="0.25">
      <c r="A68" s="137" t="s">
        <v>68</v>
      </c>
      <c r="B68" s="150"/>
      <c r="C68" s="150"/>
      <c r="D68" s="252"/>
      <c r="E68" s="150"/>
      <c r="F68" s="150"/>
      <c r="G68" s="150"/>
      <c r="H68" s="150"/>
      <c r="I68" s="150"/>
      <c r="J68" s="150"/>
      <c r="K68" s="252"/>
      <c r="L68" s="150"/>
      <c r="M68" s="150"/>
      <c r="N68" s="252"/>
      <c r="O68" s="252"/>
      <c r="P68" s="150"/>
      <c r="Q68" s="247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67">
        <f t="shared" si="13"/>
        <v>0</v>
      </c>
      <c r="AE68" s="167">
        <f t="shared" si="4"/>
        <v>0</v>
      </c>
    </row>
    <row r="69" spans="1:31" ht="20.25" customHeight="1" x14ac:dyDescent="0.25">
      <c r="A69" s="2" t="s">
        <v>69</v>
      </c>
      <c r="B69" s="142" cm="1">
        <f t="array" ref="B69">IF(ISERROR(_xlfn.XLOOKUP(B$5,'QB_Funds Analysis raw'!$B$5:$AC$5, _xlfn.XLOOKUP($A69,'QB_Funds Analysis raw'!$A$6:$A$104,'QB_Funds Analysis raw'!$B$6:$AC$104))),0,(_xlfn.XLOOKUP(B$5,'QB_Funds Analysis raw'!$B$5:$AC$5, _xlfn.XLOOKUP($A69,'QB_Funds Analysis raw'!$A$6:$A$104,'QB_Funds Analysis raw'!$B$6:$AC$104))))</f>
        <v>0</v>
      </c>
      <c r="C69" s="142" cm="1">
        <f t="array" ref="C69">IF(ISERROR(_xlfn.XLOOKUP(C$5,'QB_Funds Analysis raw'!$B$5:$AC$5, _xlfn.XLOOKUP($A69,'QB_Funds Analysis raw'!$A$6:$A$104,'QB_Funds Analysis raw'!$B$6:$AC$104))),0,(_xlfn.XLOOKUP(C$5,'QB_Funds Analysis raw'!$B$5:$AC$5, _xlfn.XLOOKUP($A69,'QB_Funds Analysis raw'!$A$6:$A$104,'QB_Funds Analysis raw'!$B$6:$AC$104))))</f>
        <v>0</v>
      </c>
      <c r="D69" s="252" cm="1">
        <f t="array" ref="D69">IF(ISERROR(_xlfn.XLOOKUP(D$5,'QB_Funds Analysis raw'!$B$5:$AC$5, _xlfn.XLOOKUP($A69,'QB_Funds Analysis raw'!$A$6:$A$104,'QB_Funds Analysis raw'!$B$6:$AC$104))),0,(_xlfn.XLOOKUP(D$5,'QB_Funds Analysis raw'!$B$5:$AC$5, _xlfn.XLOOKUP($A69,'QB_Funds Analysis raw'!$A$6:$A$104,'QB_Funds Analysis raw'!$B$6:$AC$104))))</f>
        <v>0</v>
      </c>
      <c r="E69" s="142" cm="1">
        <f t="array" ref="E69">IF(ISERROR(_xlfn.XLOOKUP(E$5,'QB_Funds Analysis raw'!$B$5:$AC$5, _xlfn.XLOOKUP($A69,'QB_Funds Analysis raw'!$A$6:$A$104,'QB_Funds Analysis raw'!$B$6:$AC$104))),0,(_xlfn.XLOOKUP(E$5,'QB_Funds Analysis raw'!$B$5:$AC$5, _xlfn.XLOOKUP($A69,'QB_Funds Analysis raw'!$A$6:$A$104,'QB_Funds Analysis raw'!$B$6:$AC$104))))</f>
        <v>0</v>
      </c>
      <c r="F69" s="142" cm="1">
        <f t="array" ref="F69">IF(ISERROR(_xlfn.XLOOKUP(F$5,'QB_Funds Analysis raw'!$B$5:$AC$5, _xlfn.XLOOKUP($A69,'QB_Funds Analysis raw'!$A$6:$A$104,'QB_Funds Analysis raw'!$B$6:$AC$104))),0,(_xlfn.XLOOKUP(F$5,'QB_Funds Analysis raw'!$B$5:$AC$5, _xlfn.XLOOKUP($A69,'QB_Funds Analysis raw'!$A$6:$A$104,'QB_Funds Analysis raw'!$B$6:$AC$104))))</f>
        <v>0</v>
      </c>
      <c r="G69" s="142" cm="1">
        <f t="array" ref="G69">IF(ISERROR(_xlfn.XLOOKUP(G$5,'QB_Funds Analysis raw'!$B$5:$AC$5, _xlfn.XLOOKUP($A69,'QB_Funds Analysis raw'!$A$6:$A$104,'QB_Funds Analysis raw'!$B$6:$AC$104))),0,(_xlfn.XLOOKUP(G$5,'QB_Funds Analysis raw'!$B$5:$AC$5, _xlfn.XLOOKUP($A69,'QB_Funds Analysis raw'!$A$6:$A$104,'QB_Funds Analysis raw'!$B$6:$AC$104))))</f>
        <v>0</v>
      </c>
      <c r="H69" s="142" cm="1">
        <f t="array" ref="H69">IF(ISERROR(_xlfn.XLOOKUP(H$5,'QB_Funds Analysis raw'!$B$5:$AC$5, _xlfn.XLOOKUP($A69,'QB_Funds Analysis raw'!$A$6:$A$104,'QB_Funds Analysis raw'!$B$6:$AC$104))),0,(_xlfn.XLOOKUP(H$5,'QB_Funds Analysis raw'!$B$5:$AC$5, _xlfn.XLOOKUP($A69,'QB_Funds Analysis raw'!$A$6:$A$104,'QB_Funds Analysis raw'!$B$6:$AC$104))))</f>
        <v>0</v>
      </c>
      <c r="I69" s="142" cm="1">
        <f t="array" ref="I69">IF(ISERROR(_xlfn.XLOOKUP(I$5,'QB_Funds Analysis raw'!$B$5:$AC$5, _xlfn.XLOOKUP($A69,'QB_Funds Analysis raw'!$A$6:$A$104,'QB_Funds Analysis raw'!$B$6:$AC$104))),0,(_xlfn.XLOOKUP(I$5,'QB_Funds Analysis raw'!$B$5:$AC$5, _xlfn.XLOOKUP($A69,'QB_Funds Analysis raw'!$A$6:$A$104,'QB_Funds Analysis raw'!$B$6:$AC$104))))</f>
        <v>0</v>
      </c>
      <c r="J69" s="142" cm="1">
        <f t="array" ref="J69">IF(ISERROR(_xlfn.XLOOKUP(J$5,'QB_Funds Analysis raw'!$B$5:$AC$5, _xlfn.XLOOKUP($A69,'QB_Funds Analysis raw'!$A$6:$A$104,'QB_Funds Analysis raw'!$B$6:$AC$104))),0,(_xlfn.XLOOKUP(J$5,'QB_Funds Analysis raw'!$B$5:$AC$5, _xlfn.XLOOKUP($A69,'QB_Funds Analysis raw'!$A$6:$A$104,'QB_Funds Analysis raw'!$B$6:$AC$104))))</f>
        <v>0</v>
      </c>
      <c r="K69" s="252" cm="1">
        <f t="array" ref="K69">IF(ISERROR(_xlfn.XLOOKUP(K$5,'QB_Funds Analysis raw'!$B$5:$AC$5, _xlfn.XLOOKUP($A69,'QB_Funds Analysis raw'!$A$6:$A$104,'QB_Funds Analysis raw'!$B$6:$AC$104))),0,(_xlfn.XLOOKUP(K$5,'QB_Funds Analysis raw'!$B$5:$AC$5, _xlfn.XLOOKUP($A69,'QB_Funds Analysis raw'!$A$6:$A$104,'QB_Funds Analysis raw'!$B$6:$AC$104))))</f>
        <v>0</v>
      </c>
      <c r="L69" s="142" cm="1">
        <f t="array" ref="L69">IF(ISERROR(_xlfn.XLOOKUP(L$5,'QB_Funds Analysis raw'!$B$5:$AC$5, _xlfn.XLOOKUP($A69,'QB_Funds Analysis raw'!$A$6:$A$104,'QB_Funds Analysis raw'!$B$6:$AC$104))),0,(_xlfn.XLOOKUP(L$5,'QB_Funds Analysis raw'!$B$5:$AC$5, _xlfn.XLOOKUP($A69,'QB_Funds Analysis raw'!$A$6:$A$104,'QB_Funds Analysis raw'!$B$6:$AC$104))))</f>
        <v>504</v>
      </c>
      <c r="M69" s="142" cm="1">
        <f t="array" ref="M69">IF(ISERROR(_xlfn.XLOOKUP(M$5,'QB_Funds Analysis raw'!$B$5:$AC$5, _xlfn.XLOOKUP($A69,'QB_Funds Analysis raw'!$A$6:$A$104,'QB_Funds Analysis raw'!$B$6:$AC$104))),0,(_xlfn.XLOOKUP(M$5,'QB_Funds Analysis raw'!$B$5:$AC$5, _xlfn.XLOOKUP($A69,'QB_Funds Analysis raw'!$A$6:$A$104,'QB_Funds Analysis raw'!$B$6:$AC$104))))</f>
        <v>0</v>
      </c>
      <c r="N69" s="252" cm="1">
        <f t="array" ref="N69">IF(ISERROR(_xlfn.XLOOKUP(N$5,'QB_Funds Analysis raw'!$B$5:$AC$5, _xlfn.XLOOKUP($A69,'QB_Funds Analysis raw'!$A$6:$A$104,'QB_Funds Analysis raw'!$B$6:$AC$104))),0,(_xlfn.XLOOKUP(N$5,'QB_Funds Analysis raw'!$B$5:$AC$5, _xlfn.XLOOKUP($A69,'QB_Funds Analysis raw'!$A$6:$A$104,'QB_Funds Analysis raw'!$B$6:$AC$104))))</f>
        <v>0</v>
      </c>
      <c r="O69" s="252" cm="1">
        <f t="array" ref="O69">IF(ISERROR(_xlfn.XLOOKUP(O$5,'QB_Funds Analysis raw'!$B$5:$AC$5, _xlfn.XLOOKUP($A69,'QB_Funds Analysis raw'!$A$6:$A$104,'QB_Funds Analysis raw'!$B$6:$AC$104))),0,(_xlfn.XLOOKUP(O$5,'QB_Funds Analysis raw'!$B$5:$AC$5, _xlfn.XLOOKUP($A69,'QB_Funds Analysis raw'!$A$6:$A$104,'QB_Funds Analysis raw'!$B$6:$AC$104))))</f>
        <v>0</v>
      </c>
      <c r="P69" s="142" cm="1">
        <f t="array" ref="P69">IF(ISERROR(_xlfn.XLOOKUP(P$5,'QB_Funds Analysis raw'!$B$5:$AC$5, _xlfn.XLOOKUP($A69,'QB_Funds Analysis raw'!$A$6:$A$104,'QB_Funds Analysis raw'!$B$6:$AC$104))),0,(_xlfn.XLOOKUP(P$5,'QB_Funds Analysis raw'!$B$5:$AC$5, _xlfn.XLOOKUP($A69,'QB_Funds Analysis raw'!$A$6:$A$104,'QB_Funds Analysis raw'!$B$6:$AC$104))))</f>
        <v>0</v>
      </c>
      <c r="Q69" s="247" cm="1">
        <f t="array" ref="Q69">IF(ISERROR(_xlfn.XLOOKUP(Q$5,'QB_Funds Analysis raw'!$B$5:$AC$5, _xlfn.XLOOKUP($A69,'QB_Funds Analysis raw'!$A$6:$A$104,'QB_Funds Analysis raw'!$B$6:$AC$104))),0,(_xlfn.XLOOKUP(Q$5,'QB_Funds Analysis raw'!$B$5:$AC$5, _xlfn.XLOOKUP($A69,'QB_Funds Analysis raw'!$A$6:$A$104,'QB_Funds Analysis raw'!$B$6:$AC$104))))</f>
        <v>504</v>
      </c>
      <c r="R69" s="142" cm="1">
        <f t="array" ref="R69">IF(ISERROR(_xlfn.XLOOKUP(R$5,'QB_Funds Analysis raw'!$B$5:$AC$5, _xlfn.XLOOKUP($A69,'QB_Funds Analysis raw'!$A$6:$A$104,'QB_Funds Analysis raw'!$B$6:$AC$104))),0,(_xlfn.XLOOKUP(R$5,'QB_Funds Analysis raw'!$B$5:$AC$5, _xlfn.XLOOKUP($A69,'QB_Funds Analysis raw'!$A$6:$A$104,'QB_Funds Analysis raw'!$B$6:$AC$104))))</f>
        <v>0</v>
      </c>
      <c r="S69" s="142" cm="1">
        <f t="array" ref="S69">IF(ISERROR(_xlfn.XLOOKUP(S$5,'QB_Funds Analysis raw'!$B$5:$AC$5, _xlfn.XLOOKUP($A69,'QB_Funds Analysis raw'!$A$6:$A$104,'QB_Funds Analysis raw'!$B$6:$AC$104))),0,(_xlfn.XLOOKUP(S$5,'QB_Funds Analysis raw'!$B$5:$AC$5, _xlfn.XLOOKUP($A69,'QB_Funds Analysis raw'!$A$6:$A$104,'QB_Funds Analysis raw'!$B$6:$AC$104))))</f>
        <v>0</v>
      </c>
      <c r="T69" s="142" cm="1">
        <f t="array" ref="T69">IF(ISERROR(_xlfn.XLOOKUP(T$5,'QB_Funds Analysis raw'!$B$5:$AC$5, _xlfn.XLOOKUP($A69,'QB_Funds Analysis raw'!$A$6:$A$104,'QB_Funds Analysis raw'!$B$6:$AC$104))),0,(_xlfn.XLOOKUP(T$5,'QB_Funds Analysis raw'!$B$5:$AC$5, _xlfn.XLOOKUP($A69,'QB_Funds Analysis raw'!$A$6:$A$104,'QB_Funds Analysis raw'!$B$6:$AC$104))))</f>
        <v>0</v>
      </c>
      <c r="U69" s="142" cm="1">
        <f t="array" ref="U69">IF(ISERROR(_xlfn.XLOOKUP(U$5,'QB_Funds Analysis raw'!$B$5:$AC$5, _xlfn.XLOOKUP($A69,'QB_Funds Analysis raw'!$A$6:$A$104,'QB_Funds Analysis raw'!$B$6:$AC$104))),0,(_xlfn.XLOOKUP(U$5,'QB_Funds Analysis raw'!$B$5:$AC$5, _xlfn.XLOOKUP($A69,'QB_Funds Analysis raw'!$A$6:$A$104,'QB_Funds Analysis raw'!$B$6:$AC$104))))</f>
        <v>0</v>
      </c>
      <c r="V69" s="142" cm="1">
        <f t="array" ref="V69">IF(ISERROR(_xlfn.XLOOKUP(V$5,'QB_Funds Analysis raw'!$B$5:$AC$5, _xlfn.XLOOKUP($A69,'QB_Funds Analysis raw'!$A$6:$A$104,'QB_Funds Analysis raw'!$B$6:$AC$104))),0,(_xlfn.XLOOKUP(V$5,'QB_Funds Analysis raw'!$B$5:$AC$5, _xlfn.XLOOKUP($A69,'QB_Funds Analysis raw'!$A$6:$A$104,'QB_Funds Analysis raw'!$B$6:$AC$104))))</f>
        <v>0</v>
      </c>
      <c r="W69" s="142" cm="1">
        <f t="array" ref="W69">IF(ISERROR(_xlfn.XLOOKUP(W$5,'QB_Funds Analysis raw'!$B$5:$AC$5, _xlfn.XLOOKUP($A69,'QB_Funds Analysis raw'!$A$6:$A$104,'QB_Funds Analysis raw'!$B$6:$AC$104))),0,(_xlfn.XLOOKUP(W$5,'QB_Funds Analysis raw'!$B$5:$AC$5, _xlfn.XLOOKUP($A69,'QB_Funds Analysis raw'!$A$6:$A$104,'QB_Funds Analysis raw'!$B$6:$AC$104))))</f>
        <v>504</v>
      </c>
      <c r="X69" s="142" cm="1">
        <f t="array" ref="X69">IF(ISERROR(_xlfn.XLOOKUP(X$5,'QB_Funds Analysis raw'!$B$5:$AC$5, _xlfn.XLOOKUP($A69,'QB_Funds Analysis raw'!$A$6:$A$104,'QB_Funds Analysis raw'!$B$6:$AC$104))),0,(_xlfn.XLOOKUP(X$5,'QB_Funds Analysis raw'!$B$5:$AC$5, _xlfn.XLOOKUP($A69,'QB_Funds Analysis raw'!$A$6:$A$104,'QB_Funds Analysis raw'!$B$6:$AC$104))))</f>
        <v>0</v>
      </c>
      <c r="Y69" s="142" cm="1">
        <f t="array" ref="Y69">IF(ISERROR(_xlfn.XLOOKUP(Y$5,'QB_Funds Analysis raw'!$B$5:$AC$5, _xlfn.XLOOKUP($A69,'QB_Funds Analysis raw'!$A$6:$A$104,'QB_Funds Analysis raw'!$B$6:$AC$104))),0,(_xlfn.XLOOKUP(Y$5,'QB_Funds Analysis raw'!$B$5:$AC$5, _xlfn.XLOOKUP($A69,'QB_Funds Analysis raw'!$A$6:$A$104,'QB_Funds Analysis raw'!$B$6:$AC$104))))</f>
        <v>0</v>
      </c>
      <c r="Z69" s="142" cm="1">
        <f t="array" ref="Z69">IF(ISERROR(_xlfn.XLOOKUP(Z$5,'QB_Funds Analysis raw'!$B$5:$AC$5, _xlfn.XLOOKUP($A69,'QB_Funds Analysis raw'!$A$6:$A$104,'QB_Funds Analysis raw'!$B$6:$AC$104))),0,(_xlfn.XLOOKUP(Z$5,'QB_Funds Analysis raw'!$B$5:$AC$5, _xlfn.XLOOKUP($A69,'QB_Funds Analysis raw'!$A$6:$A$104,'QB_Funds Analysis raw'!$B$6:$AC$104))))</f>
        <v>0</v>
      </c>
      <c r="AA69" s="142" cm="1">
        <f t="array" ref="AA69">IF(ISERROR(_xlfn.XLOOKUP(AA$5,'QB_Funds Analysis raw'!$B$5:$AC$5, _xlfn.XLOOKUP($A69,'QB_Funds Analysis raw'!$A$6:$A$104,'QB_Funds Analysis raw'!$B$6:$AC$104))),0,(_xlfn.XLOOKUP(AA$5,'QB_Funds Analysis raw'!$B$5:$AC$5, _xlfn.XLOOKUP($A69,'QB_Funds Analysis raw'!$A$6:$A$104,'QB_Funds Analysis raw'!$B$6:$AC$104))))</f>
        <v>0</v>
      </c>
      <c r="AB69" s="142" cm="1">
        <f t="array" ref="AB69">IF(ISERROR(_xlfn.XLOOKUP(AB$5,'QB_Funds Analysis raw'!$B$5:$AC$5, _xlfn.XLOOKUP($A69,'QB_Funds Analysis raw'!$A$6:$A$104,'QB_Funds Analysis raw'!$B$6:$AC$104))),0,(_xlfn.XLOOKUP(AB$5,'QB_Funds Analysis raw'!$B$5:$AC$5, _xlfn.XLOOKUP($A69,'QB_Funds Analysis raw'!$A$6:$A$104,'QB_Funds Analysis raw'!$B$6:$AC$104))))</f>
        <v>629.41</v>
      </c>
      <c r="AC69" s="142" cm="1">
        <f t="array" ref="AC69">IF(ISERROR(_xlfn.XLOOKUP(AC$5,'QB_Funds Analysis raw'!$B$5:$AC$5, _xlfn.XLOOKUP($A69,'QB_Funds Analysis raw'!$A$6:$A$104,'QB_Funds Analysis raw'!$B$6:$AC$104))),0,(_xlfn.XLOOKUP(AC$5,'QB_Funds Analysis raw'!$B$5:$AC$5, _xlfn.XLOOKUP($A69,'QB_Funds Analysis raw'!$A$6:$A$104,'QB_Funds Analysis raw'!$B$6:$AC$104))))</f>
        <v>1133.4099999999999</v>
      </c>
      <c r="AD69" s="167">
        <f t="shared" si="13"/>
        <v>1133.4099999999999</v>
      </c>
      <c r="AE69" s="167">
        <f t="shared" si="4"/>
        <v>0</v>
      </c>
    </row>
    <row r="70" spans="1:31" ht="20.25" customHeight="1" x14ac:dyDescent="0.25">
      <c r="A70" s="2" t="s">
        <v>70</v>
      </c>
      <c r="B70" s="142" cm="1">
        <f t="array" ref="B70">IF(ISERROR(_xlfn.XLOOKUP(B$5,'QB_Funds Analysis raw'!$B$5:$AC$5, _xlfn.XLOOKUP($A70,'QB_Funds Analysis raw'!$A$6:$A$104,'QB_Funds Analysis raw'!$B$6:$AC$104))),0,(_xlfn.XLOOKUP(B$5,'QB_Funds Analysis raw'!$B$5:$AC$5, _xlfn.XLOOKUP($A70,'QB_Funds Analysis raw'!$A$6:$A$104,'QB_Funds Analysis raw'!$B$6:$AC$104))))</f>
        <v>0</v>
      </c>
      <c r="C70" s="142" cm="1">
        <f t="array" ref="C70">IF(ISERROR(_xlfn.XLOOKUP(C$5,'QB_Funds Analysis raw'!$B$5:$AC$5, _xlfn.XLOOKUP($A70,'QB_Funds Analysis raw'!$A$6:$A$104,'QB_Funds Analysis raw'!$B$6:$AC$104))),0,(_xlfn.XLOOKUP(C$5,'QB_Funds Analysis raw'!$B$5:$AC$5, _xlfn.XLOOKUP($A70,'QB_Funds Analysis raw'!$A$6:$A$104,'QB_Funds Analysis raw'!$B$6:$AC$104))))</f>
        <v>0</v>
      </c>
      <c r="D70" s="252" cm="1">
        <f t="array" ref="D70">IF(ISERROR(_xlfn.XLOOKUP(D$5,'QB_Funds Analysis raw'!$B$5:$AC$5, _xlfn.XLOOKUP($A70,'QB_Funds Analysis raw'!$A$6:$A$104,'QB_Funds Analysis raw'!$B$6:$AC$104))),0,(_xlfn.XLOOKUP(D$5,'QB_Funds Analysis raw'!$B$5:$AC$5, _xlfn.XLOOKUP($A70,'QB_Funds Analysis raw'!$A$6:$A$104,'QB_Funds Analysis raw'!$B$6:$AC$104))))</f>
        <v>0</v>
      </c>
      <c r="E70" s="142" cm="1">
        <f t="array" ref="E70">IF(ISERROR(_xlfn.XLOOKUP(E$5,'QB_Funds Analysis raw'!$B$5:$AC$5, _xlfn.XLOOKUP($A70,'QB_Funds Analysis raw'!$A$6:$A$104,'QB_Funds Analysis raw'!$B$6:$AC$104))),0,(_xlfn.XLOOKUP(E$5,'QB_Funds Analysis raw'!$B$5:$AC$5, _xlfn.XLOOKUP($A70,'QB_Funds Analysis raw'!$A$6:$A$104,'QB_Funds Analysis raw'!$B$6:$AC$104))))</f>
        <v>0</v>
      </c>
      <c r="F70" s="142" cm="1">
        <f t="array" ref="F70">IF(ISERROR(_xlfn.XLOOKUP(F$5,'QB_Funds Analysis raw'!$B$5:$AC$5, _xlfn.XLOOKUP($A70,'QB_Funds Analysis raw'!$A$6:$A$104,'QB_Funds Analysis raw'!$B$6:$AC$104))),0,(_xlfn.XLOOKUP(F$5,'QB_Funds Analysis raw'!$B$5:$AC$5, _xlfn.XLOOKUP($A70,'QB_Funds Analysis raw'!$A$6:$A$104,'QB_Funds Analysis raw'!$B$6:$AC$104))))</f>
        <v>0</v>
      </c>
      <c r="G70" s="142" cm="1">
        <f t="array" ref="G70">IF(ISERROR(_xlfn.XLOOKUP(G$5,'QB_Funds Analysis raw'!$B$5:$AC$5, _xlfn.XLOOKUP($A70,'QB_Funds Analysis raw'!$A$6:$A$104,'QB_Funds Analysis raw'!$B$6:$AC$104))),0,(_xlfn.XLOOKUP(G$5,'QB_Funds Analysis raw'!$B$5:$AC$5, _xlfn.XLOOKUP($A70,'QB_Funds Analysis raw'!$A$6:$A$104,'QB_Funds Analysis raw'!$B$6:$AC$104))))</f>
        <v>0</v>
      </c>
      <c r="H70" s="142" cm="1">
        <f t="array" ref="H70">IF(ISERROR(_xlfn.XLOOKUP(H$5,'QB_Funds Analysis raw'!$B$5:$AC$5, _xlfn.XLOOKUP($A70,'QB_Funds Analysis raw'!$A$6:$A$104,'QB_Funds Analysis raw'!$B$6:$AC$104))),0,(_xlfn.XLOOKUP(H$5,'QB_Funds Analysis raw'!$B$5:$AC$5, _xlfn.XLOOKUP($A70,'QB_Funds Analysis raw'!$A$6:$A$104,'QB_Funds Analysis raw'!$B$6:$AC$104))))</f>
        <v>0</v>
      </c>
      <c r="I70" s="142" cm="1">
        <f t="array" ref="I70">IF(ISERROR(_xlfn.XLOOKUP(I$5,'QB_Funds Analysis raw'!$B$5:$AC$5, _xlfn.XLOOKUP($A70,'QB_Funds Analysis raw'!$A$6:$A$104,'QB_Funds Analysis raw'!$B$6:$AC$104))),0,(_xlfn.XLOOKUP(I$5,'QB_Funds Analysis raw'!$B$5:$AC$5, _xlfn.XLOOKUP($A70,'QB_Funds Analysis raw'!$A$6:$A$104,'QB_Funds Analysis raw'!$B$6:$AC$104))))</f>
        <v>0</v>
      </c>
      <c r="J70" s="142" cm="1">
        <f t="array" ref="J70">IF(ISERROR(_xlfn.XLOOKUP(J$5,'QB_Funds Analysis raw'!$B$5:$AC$5, _xlfn.XLOOKUP($A70,'QB_Funds Analysis raw'!$A$6:$A$104,'QB_Funds Analysis raw'!$B$6:$AC$104))),0,(_xlfn.XLOOKUP(J$5,'QB_Funds Analysis raw'!$B$5:$AC$5, _xlfn.XLOOKUP($A70,'QB_Funds Analysis raw'!$A$6:$A$104,'QB_Funds Analysis raw'!$B$6:$AC$104))))</f>
        <v>0</v>
      </c>
      <c r="K70" s="252" cm="1">
        <f t="array" ref="K70">IF(ISERROR(_xlfn.XLOOKUP(K$5,'QB_Funds Analysis raw'!$B$5:$AC$5, _xlfn.XLOOKUP($A70,'QB_Funds Analysis raw'!$A$6:$A$104,'QB_Funds Analysis raw'!$B$6:$AC$104))),0,(_xlfn.XLOOKUP(K$5,'QB_Funds Analysis raw'!$B$5:$AC$5, _xlfn.XLOOKUP($A70,'QB_Funds Analysis raw'!$A$6:$A$104,'QB_Funds Analysis raw'!$B$6:$AC$104))))</f>
        <v>0</v>
      </c>
      <c r="L70" s="142" cm="1">
        <f t="array" ref="L70">IF(ISERROR(_xlfn.XLOOKUP(L$5,'QB_Funds Analysis raw'!$B$5:$AC$5, _xlfn.XLOOKUP($A70,'QB_Funds Analysis raw'!$A$6:$A$104,'QB_Funds Analysis raw'!$B$6:$AC$104))),0,(_xlfn.XLOOKUP(L$5,'QB_Funds Analysis raw'!$B$5:$AC$5, _xlfn.XLOOKUP($A70,'QB_Funds Analysis raw'!$A$6:$A$104,'QB_Funds Analysis raw'!$B$6:$AC$104))))</f>
        <v>0</v>
      </c>
      <c r="M70" s="142" cm="1">
        <f t="array" ref="M70">IF(ISERROR(_xlfn.XLOOKUP(M$5,'QB_Funds Analysis raw'!$B$5:$AC$5, _xlfn.XLOOKUP($A70,'QB_Funds Analysis raw'!$A$6:$A$104,'QB_Funds Analysis raw'!$B$6:$AC$104))),0,(_xlfn.XLOOKUP(M$5,'QB_Funds Analysis raw'!$B$5:$AC$5, _xlfn.XLOOKUP($A70,'QB_Funds Analysis raw'!$A$6:$A$104,'QB_Funds Analysis raw'!$B$6:$AC$104))))</f>
        <v>0</v>
      </c>
      <c r="N70" s="252" cm="1">
        <f t="array" ref="N70">IF(ISERROR(_xlfn.XLOOKUP(N$5,'QB_Funds Analysis raw'!$B$5:$AC$5, _xlfn.XLOOKUP($A70,'QB_Funds Analysis raw'!$A$6:$A$104,'QB_Funds Analysis raw'!$B$6:$AC$104))),0,(_xlfn.XLOOKUP(N$5,'QB_Funds Analysis raw'!$B$5:$AC$5, _xlfn.XLOOKUP($A70,'QB_Funds Analysis raw'!$A$6:$A$104,'QB_Funds Analysis raw'!$B$6:$AC$104))))</f>
        <v>0</v>
      </c>
      <c r="O70" s="252" cm="1">
        <f t="array" ref="O70">IF(ISERROR(_xlfn.XLOOKUP(O$5,'QB_Funds Analysis raw'!$B$5:$AC$5, _xlfn.XLOOKUP($A70,'QB_Funds Analysis raw'!$A$6:$A$104,'QB_Funds Analysis raw'!$B$6:$AC$104))),0,(_xlfn.XLOOKUP(O$5,'QB_Funds Analysis raw'!$B$5:$AC$5, _xlfn.XLOOKUP($A70,'QB_Funds Analysis raw'!$A$6:$A$104,'QB_Funds Analysis raw'!$B$6:$AC$104))))</f>
        <v>0</v>
      </c>
      <c r="P70" s="142" cm="1">
        <f t="array" ref="P70">IF(ISERROR(_xlfn.XLOOKUP(P$5,'QB_Funds Analysis raw'!$B$5:$AC$5, _xlfn.XLOOKUP($A70,'QB_Funds Analysis raw'!$A$6:$A$104,'QB_Funds Analysis raw'!$B$6:$AC$104))),0,(_xlfn.XLOOKUP(P$5,'QB_Funds Analysis raw'!$B$5:$AC$5, _xlfn.XLOOKUP($A70,'QB_Funds Analysis raw'!$A$6:$A$104,'QB_Funds Analysis raw'!$B$6:$AC$104))))</f>
        <v>0</v>
      </c>
      <c r="Q70" s="247" cm="1">
        <f t="array" ref="Q70">IF(ISERROR(_xlfn.XLOOKUP(Q$5,'QB_Funds Analysis raw'!$B$5:$AC$5, _xlfn.XLOOKUP($A70,'QB_Funds Analysis raw'!$A$6:$A$104,'QB_Funds Analysis raw'!$B$6:$AC$104))),0,(_xlfn.XLOOKUP(Q$5,'QB_Funds Analysis raw'!$B$5:$AC$5, _xlfn.XLOOKUP($A70,'QB_Funds Analysis raw'!$A$6:$A$104,'QB_Funds Analysis raw'!$B$6:$AC$104))))</f>
        <v>0</v>
      </c>
      <c r="R70" s="142" cm="1">
        <f t="array" ref="R70">IF(ISERROR(_xlfn.XLOOKUP(R$5,'QB_Funds Analysis raw'!$B$5:$AC$5, _xlfn.XLOOKUP($A70,'QB_Funds Analysis raw'!$A$6:$A$104,'QB_Funds Analysis raw'!$B$6:$AC$104))),0,(_xlfn.XLOOKUP(R$5,'QB_Funds Analysis raw'!$B$5:$AC$5, _xlfn.XLOOKUP($A70,'QB_Funds Analysis raw'!$A$6:$A$104,'QB_Funds Analysis raw'!$B$6:$AC$104))))</f>
        <v>0</v>
      </c>
      <c r="S70" s="142" cm="1">
        <f t="array" ref="S70">IF(ISERROR(_xlfn.XLOOKUP(S$5,'QB_Funds Analysis raw'!$B$5:$AC$5, _xlfn.XLOOKUP($A70,'QB_Funds Analysis raw'!$A$6:$A$104,'QB_Funds Analysis raw'!$B$6:$AC$104))),0,(_xlfn.XLOOKUP(S$5,'QB_Funds Analysis raw'!$B$5:$AC$5, _xlfn.XLOOKUP($A70,'QB_Funds Analysis raw'!$A$6:$A$104,'QB_Funds Analysis raw'!$B$6:$AC$104))))</f>
        <v>0</v>
      </c>
      <c r="T70" s="142" cm="1">
        <f t="array" ref="T70">IF(ISERROR(_xlfn.XLOOKUP(T$5,'QB_Funds Analysis raw'!$B$5:$AC$5, _xlfn.XLOOKUP($A70,'QB_Funds Analysis raw'!$A$6:$A$104,'QB_Funds Analysis raw'!$B$6:$AC$104))),0,(_xlfn.XLOOKUP(T$5,'QB_Funds Analysis raw'!$B$5:$AC$5, _xlfn.XLOOKUP($A70,'QB_Funds Analysis raw'!$A$6:$A$104,'QB_Funds Analysis raw'!$B$6:$AC$104))))</f>
        <v>0</v>
      </c>
      <c r="U70" s="142" cm="1">
        <f t="array" ref="U70">IF(ISERROR(_xlfn.XLOOKUP(U$5,'QB_Funds Analysis raw'!$B$5:$AC$5, _xlfn.XLOOKUP($A70,'QB_Funds Analysis raw'!$A$6:$A$104,'QB_Funds Analysis raw'!$B$6:$AC$104))),0,(_xlfn.XLOOKUP(U$5,'QB_Funds Analysis raw'!$B$5:$AC$5, _xlfn.XLOOKUP($A70,'QB_Funds Analysis raw'!$A$6:$A$104,'QB_Funds Analysis raw'!$B$6:$AC$104))))</f>
        <v>0</v>
      </c>
      <c r="V70" s="142" cm="1">
        <f t="array" ref="V70">IF(ISERROR(_xlfn.XLOOKUP(V$5,'QB_Funds Analysis raw'!$B$5:$AC$5, _xlfn.XLOOKUP($A70,'QB_Funds Analysis raw'!$A$6:$A$104,'QB_Funds Analysis raw'!$B$6:$AC$104))),0,(_xlfn.XLOOKUP(V$5,'QB_Funds Analysis raw'!$B$5:$AC$5, _xlfn.XLOOKUP($A70,'QB_Funds Analysis raw'!$A$6:$A$104,'QB_Funds Analysis raw'!$B$6:$AC$104))))</f>
        <v>0</v>
      </c>
      <c r="W70" s="142" cm="1">
        <f t="array" ref="W70">IF(ISERROR(_xlfn.XLOOKUP(W$5,'QB_Funds Analysis raw'!$B$5:$AC$5, _xlfn.XLOOKUP($A70,'QB_Funds Analysis raw'!$A$6:$A$104,'QB_Funds Analysis raw'!$B$6:$AC$104))),0,(_xlfn.XLOOKUP(W$5,'QB_Funds Analysis raw'!$B$5:$AC$5, _xlfn.XLOOKUP($A70,'QB_Funds Analysis raw'!$A$6:$A$104,'QB_Funds Analysis raw'!$B$6:$AC$104))))</f>
        <v>0</v>
      </c>
      <c r="X70" s="142" cm="1">
        <f t="array" ref="X70">IF(ISERROR(_xlfn.XLOOKUP(X$5,'QB_Funds Analysis raw'!$B$5:$AC$5, _xlfn.XLOOKUP($A70,'QB_Funds Analysis raw'!$A$6:$A$104,'QB_Funds Analysis raw'!$B$6:$AC$104))),0,(_xlfn.XLOOKUP(X$5,'QB_Funds Analysis raw'!$B$5:$AC$5, _xlfn.XLOOKUP($A70,'QB_Funds Analysis raw'!$A$6:$A$104,'QB_Funds Analysis raw'!$B$6:$AC$104))))</f>
        <v>0</v>
      </c>
      <c r="Y70" s="142" cm="1">
        <f t="array" ref="Y70">IF(ISERROR(_xlfn.XLOOKUP(Y$5,'QB_Funds Analysis raw'!$B$5:$AC$5, _xlfn.XLOOKUP($A70,'QB_Funds Analysis raw'!$A$6:$A$104,'QB_Funds Analysis raw'!$B$6:$AC$104))),0,(_xlfn.XLOOKUP(Y$5,'QB_Funds Analysis raw'!$B$5:$AC$5, _xlfn.XLOOKUP($A70,'QB_Funds Analysis raw'!$A$6:$A$104,'QB_Funds Analysis raw'!$B$6:$AC$104))))</f>
        <v>0</v>
      </c>
      <c r="Z70" s="142" cm="1">
        <f t="array" ref="Z70">IF(ISERROR(_xlfn.XLOOKUP(Z$5,'QB_Funds Analysis raw'!$B$5:$AC$5, _xlfn.XLOOKUP($A70,'QB_Funds Analysis raw'!$A$6:$A$104,'QB_Funds Analysis raw'!$B$6:$AC$104))),0,(_xlfn.XLOOKUP(Z$5,'QB_Funds Analysis raw'!$B$5:$AC$5, _xlfn.XLOOKUP($A70,'QB_Funds Analysis raw'!$A$6:$A$104,'QB_Funds Analysis raw'!$B$6:$AC$104))))</f>
        <v>0</v>
      </c>
      <c r="AA70" s="142" cm="1">
        <f t="array" ref="AA70">IF(ISERROR(_xlfn.XLOOKUP(AA$5,'QB_Funds Analysis raw'!$B$5:$AC$5, _xlfn.XLOOKUP($A70,'QB_Funds Analysis raw'!$A$6:$A$104,'QB_Funds Analysis raw'!$B$6:$AC$104))),0,(_xlfn.XLOOKUP(AA$5,'QB_Funds Analysis raw'!$B$5:$AC$5, _xlfn.XLOOKUP($A70,'QB_Funds Analysis raw'!$A$6:$A$104,'QB_Funds Analysis raw'!$B$6:$AC$104))))</f>
        <v>0</v>
      </c>
      <c r="AB70" s="142" cm="1">
        <f t="array" ref="AB70">IF(ISERROR(_xlfn.XLOOKUP(AB$5,'QB_Funds Analysis raw'!$B$5:$AC$5, _xlfn.XLOOKUP($A70,'QB_Funds Analysis raw'!$A$6:$A$104,'QB_Funds Analysis raw'!$B$6:$AC$104))),0,(_xlfn.XLOOKUP(AB$5,'QB_Funds Analysis raw'!$B$5:$AC$5, _xlfn.XLOOKUP($A70,'QB_Funds Analysis raw'!$A$6:$A$104,'QB_Funds Analysis raw'!$B$6:$AC$104))))</f>
        <v>359.99</v>
      </c>
      <c r="AC70" s="142" cm="1">
        <f t="array" ref="AC70">IF(ISERROR(_xlfn.XLOOKUP(AC$5,'QB_Funds Analysis raw'!$B$5:$AC$5, _xlfn.XLOOKUP($A70,'QB_Funds Analysis raw'!$A$6:$A$104,'QB_Funds Analysis raw'!$B$6:$AC$104))),0,(_xlfn.XLOOKUP(AC$5,'QB_Funds Analysis raw'!$B$5:$AC$5, _xlfn.XLOOKUP($A70,'QB_Funds Analysis raw'!$A$6:$A$104,'QB_Funds Analysis raw'!$B$6:$AC$104))))</f>
        <v>359.99</v>
      </c>
      <c r="AD70" s="167">
        <f t="shared" si="13"/>
        <v>359.99</v>
      </c>
      <c r="AE70" s="167">
        <f t="shared" si="4"/>
        <v>0</v>
      </c>
    </row>
    <row r="71" spans="1:31" ht="20.25" customHeight="1" x14ac:dyDescent="0.25">
      <c r="A71" s="2" t="s">
        <v>71</v>
      </c>
      <c r="B71" s="142" cm="1">
        <f t="array" ref="B71">IF(ISERROR(_xlfn.XLOOKUP(B$5,'QB_Funds Analysis raw'!$B$5:$AC$5, _xlfn.XLOOKUP($A71,'QB_Funds Analysis raw'!$A$6:$A$104,'QB_Funds Analysis raw'!$B$6:$AC$104))),0,(_xlfn.XLOOKUP(B$5,'QB_Funds Analysis raw'!$B$5:$AC$5, _xlfn.XLOOKUP($A71,'QB_Funds Analysis raw'!$A$6:$A$104,'QB_Funds Analysis raw'!$B$6:$AC$104))))</f>
        <v>0</v>
      </c>
      <c r="C71" s="142" cm="1">
        <f t="array" ref="C71">IF(ISERROR(_xlfn.XLOOKUP(C$5,'QB_Funds Analysis raw'!$B$5:$AC$5, _xlfn.XLOOKUP($A71,'QB_Funds Analysis raw'!$A$6:$A$104,'QB_Funds Analysis raw'!$B$6:$AC$104))),0,(_xlfn.XLOOKUP(C$5,'QB_Funds Analysis raw'!$B$5:$AC$5, _xlfn.XLOOKUP($A71,'QB_Funds Analysis raw'!$A$6:$A$104,'QB_Funds Analysis raw'!$B$6:$AC$104))))</f>
        <v>0</v>
      </c>
      <c r="D71" s="252" cm="1">
        <f t="array" ref="D71">IF(ISERROR(_xlfn.XLOOKUP(D$5,'QB_Funds Analysis raw'!$B$5:$AC$5, _xlfn.XLOOKUP($A71,'QB_Funds Analysis raw'!$A$6:$A$104,'QB_Funds Analysis raw'!$B$6:$AC$104))),0,(_xlfn.XLOOKUP(D$5,'QB_Funds Analysis raw'!$B$5:$AC$5, _xlfn.XLOOKUP($A71,'QB_Funds Analysis raw'!$A$6:$A$104,'QB_Funds Analysis raw'!$B$6:$AC$104))))</f>
        <v>0</v>
      </c>
      <c r="E71" s="142" cm="1">
        <f t="array" ref="E71">IF(ISERROR(_xlfn.XLOOKUP(E$5,'QB_Funds Analysis raw'!$B$5:$AC$5, _xlfn.XLOOKUP($A71,'QB_Funds Analysis raw'!$A$6:$A$104,'QB_Funds Analysis raw'!$B$6:$AC$104))),0,(_xlfn.XLOOKUP(E$5,'QB_Funds Analysis raw'!$B$5:$AC$5, _xlfn.XLOOKUP($A71,'QB_Funds Analysis raw'!$A$6:$A$104,'QB_Funds Analysis raw'!$B$6:$AC$104))))</f>
        <v>0</v>
      </c>
      <c r="F71" s="142" cm="1">
        <f t="array" ref="F71">IF(ISERROR(_xlfn.XLOOKUP(F$5,'QB_Funds Analysis raw'!$B$5:$AC$5, _xlfn.XLOOKUP($A71,'QB_Funds Analysis raw'!$A$6:$A$104,'QB_Funds Analysis raw'!$B$6:$AC$104))),0,(_xlfn.XLOOKUP(F$5,'QB_Funds Analysis raw'!$B$5:$AC$5, _xlfn.XLOOKUP($A71,'QB_Funds Analysis raw'!$A$6:$A$104,'QB_Funds Analysis raw'!$B$6:$AC$104))))</f>
        <v>69.599999999999994</v>
      </c>
      <c r="G71" s="142" cm="1">
        <f t="array" ref="G71">IF(ISERROR(_xlfn.XLOOKUP(G$5,'QB_Funds Analysis raw'!$B$5:$AC$5, _xlfn.XLOOKUP($A71,'QB_Funds Analysis raw'!$A$6:$A$104,'QB_Funds Analysis raw'!$B$6:$AC$104))),0,(_xlfn.XLOOKUP(G$5,'QB_Funds Analysis raw'!$B$5:$AC$5, _xlfn.XLOOKUP($A71,'QB_Funds Analysis raw'!$A$6:$A$104,'QB_Funds Analysis raw'!$B$6:$AC$104))))</f>
        <v>0</v>
      </c>
      <c r="H71" s="142" cm="1">
        <f t="array" ref="H71">IF(ISERROR(_xlfn.XLOOKUP(H$5,'QB_Funds Analysis raw'!$B$5:$AC$5, _xlfn.XLOOKUP($A71,'QB_Funds Analysis raw'!$A$6:$A$104,'QB_Funds Analysis raw'!$B$6:$AC$104))),0,(_xlfn.XLOOKUP(H$5,'QB_Funds Analysis raw'!$B$5:$AC$5, _xlfn.XLOOKUP($A71,'QB_Funds Analysis raw'!$A$6:$A$104,'QB_Funds Analysis raw'!$B$6:$AC$104))))</f>
        <v>0</v>
      </c>
      <c r="I71" s="142" cm="1">
        <f t="array" ref="I71">IF(ISERROR(_xlfn.XLOOKUP(I$5,'QB_Funds Analysis raw'!$B$5:$AC$5, _xlfn.XLOOKUP($A71,'QB_Funds Analysis raw'!$A$6:$A$104,'QB_Funds Analysis raw'!$B$6:$AC$104))),0,(_xlfn.XLOOKUP(I$5,'QB_Funds Analysis raw'!$B$5:$AC$5, _xlfn.XLOOKUP($A71,'QB_Funds Analysis raw'!$A$6:$A$104,'QB_Funds Analysis raw'!$B$6:$AC$104))))</f>
        <v>0</v>
      </c>
      <c r="J71" s="142" cm="1">
        <f t="array" ref="J71">IF(ISERROR(_xlfn.XLOOKUP(J$5,'QB_Funds Analysis raw'!$B$5:$AC$5, _xlfn.XLOOKUP($A71,'QB_Funds Analysis raw'!$A$6:$A$104,'QB_Funds Analysis raw'!$B$6:$AC$104))),0,(_xlfn.XLOOKUP(J$5,'QB_Funds Analysis raw'!$B$5:$AC$5, _xlfn.XLOOKUP($A71,'QB_Funds Analysis raw'!$A$6:$A$104,'QB_Funds Analysis raw'!$B$6:$AC$104))))</f>
        <v>69.599999999999994</v>
      </c>
      <c r="K71" s="252" cm="1">
        <f t="array" ref="K71">IF(ISERROR(_xlfn.XLOOKUP(K$5,'QB_Funds Analysis raw'!$B$5:$AC$5, _xlfn.XLOOKUP($A71,'QB_Funds Analysis raw'!$A$6:$A$104,'QB_Funds Analysis raw'!$B$6:$AC$104))),0,(_xlfn.XLOOKUP(K$5,'QB_Funds Analysis raw'!$B$5:$AC$5, _xlfn.XLOOKUP($A71,'QB_Funds Analysis raw'!$A$6:$A$104,'QB_Funds Analysis raw'!$B$6:$AC$104))))</f>
        <v>0</v>
      </c>
      <c r="L71" s="142" cm="1">
        <f t="array" ref="L71">IF(ISERROR(_xlfn.XLOOKUP(L$5,'QB_Funds Analysis raw'!$B$5:$AC$5, _xlfn.XLOOKUP($A71,'QB_Funds Analysis raw'!$A$6:$A$104,'QB_Funds Analysis raw'!$B$6:$AC$104))),0,(_xlfn.XLOOKUP(L$5,'QB_Funds Analysis raw'!$B$5:$AC$5, _xlfn.XLOOKUP($A71,'QB_Funds Analysis raw'!$A$6:$A$104,'QB_Funds Analysis raw'!$B$6:$AC$104))))</f>
        <v>0</v>
      </c>
      <c r="M71" s="142" cm="1">
        <f t="array" ref="M71">IF(ISERROR(_xlfn.XLOOKUP(M$5,'QB_Funds Analysis raw'!$B$5:$AC$5, _xlfn.XLOOKUP($A71,'QB_Funds Analysis raw'!$A$6:$A$104,'QB_Funds Analysis raw'!$B$6:$AC$104))),0,(_xlfn.XLOOKUP(M$5,'QB_Funds Analysis raw'!$B$5:$AC$5, _xlfn.XLOOKUP($A71,'QB_Funds Analysis raw'!$A$6:$A$104,'QB_Funds Analysis raw'!$B$6:$AC$104))))</f>
        <v>0</v>
      </c>
      <c r="N71" s="252" cm="1">
        <f t="array" ref="N71">IF(ISERROR(_xlfn.XLOOKUP(N$5,'QB_Funds Analysis raw'!$B$5:$AC$5, _xlfn.XLOOKUP($A71,'QB_Funds Analysis raw'!$A$6:$A$104,'QB_Funds Analysis raw'!$B$6:$AC$104))),0,(_xlfn.XLOOKUP(N$5,'QB_Funds Analysis raw'!$B$5:$AC$5, _xlfn.XLOOKUP($A71,'QB_Funds Analysis raw'!$A$6:$A$104,'QB_Funds Analysis raw'!$B$6:$AC$104))))</f>
        <v>205</v>
      </c>
      <c r="O71" s="252" cm="1">
        <f t="array" ref="O71">IF(ISERROR(_xlfn.XLOOKUP(O$5,'QB_Funds Analysis raw'!$B$5:$AC$5, _xlfn.XLOOKUP($A71,'QB_Funds Analysis raw'!$A$6:$A$104,'QB_Funds Analysis raw'!$B$6:$AC$104))),0,(_xlfn.XLOOKUP(O$5,'QB_Funds Analysis raw'!$B$5:$AC$5, _xlfn.XLOOKUP($A71,'QB_Funds Analysis raw'!$A$6:$A$104,'QB_Funds Analysis raw'!$B$6:$AC$104))))</f>
        <v>0</v>
      </c>
      <c r="P71" s="142" cm="1">
        <f t="array" ref="P71">IF(ISERROR(_xlfn.XLOOKUP(P$5,'QB_Funds Analysis raw'!$B$5:$AC$5, _xlfn.XLOOKUP($A71,'QB_Funds Analysis raw'!$A$6:$A$104,'QB_Funds Analysis raw'!$B$6:$AC$104))),0,(_xlfn.XLOOKUP(P$5,'QB_Funds Analysis raw'!$B$5:$AC$5, _xlfn.XLOOKUP($A71,'QB_Funds Analysis raw'!$A$6:$A$104,'QB_Funds Analysis raw'!$B$6:$AC$104))))</f>
        <v>0</v>
      </c>
      <c r="Q71" s="247" cm="1">
        <f t="array" ref="Q71">IF(ISERROR(_xlfn.XLOOKUP(Q$5,'QB_Funds Analysis raw'!$B$5:$AC$5, _xlfn.XLOOKUP($A71,'QB_Funds Analysis raw'!$A$6:$A$104,'QB_Funds Analysis raw'!$B$6:$AC$104))),0,(_xlfn.XLOOKUP(Q$5,'QB_Funds Analysis raw'!$B$5:$AC$5, _xlfn.XLOOKUP($A71,'QB_Funds Analysis raw'!$A$6:$A$104,'QB_Funds Analysis raw'!$B$6:$AC$104))))</f>
        <v>274.60000000000002</v>
      </c>
      <c r="R71" s="142" cm="1">
        <f t="array" ref="R71">IF(ISERROR(_xlfn.XLOOKUP(R$5,'QB_Funds Analysis raw'!$B$5:$AC$5, _xlfn.XLOOKUP($A71,'QB_Funds Analysis raw'!$A$6:$A$104,'QB_Funds Analysis raw'!$B$6:$AC$104))),0,(_xlfn.XLOOKUP(R$5,'QB_Funds Analysis raw'!$B$5:$AC$5, _xlfn.XLOOKUP($A71,'QB_Funds Analysis raw'!$A$6:$A$104,'QB_Funds Analysis raw'!$B$6:$AC$104))))</f>
        <v>0</v>
      </c>
      <c r="S71" s="142" cm="1">
        <f t="array" ref="S71">IF(ISERROR(_xlfn.XLOOKUP(S$5,'QB_Funds Analysis raw'!$B$5:$AC$5, _xlfn.XLOOKUP($A71,'QB_Funds Analysis raw'!$A$6:$A$104,'QB_Funds Analysis raw'!$B$6:$AC$104))),0,(_xlfn.XLOOKUP(S$5,'QB_Funds Analysis raw'!$B$5:$AC$5, _xlfn.XLOOKUP($A71,'QB_Funds Analysis raw'!$A$6:$A$104,'QB_Funds Analysis raw'!$B$6:$AC$104))))</f>
        <v>0</v>
      </c>
      <c r="T71" s="142" cm="1">
        <f t="array" ref="T71">IF(ISERROR(_xlfn.XLOOKUP(T$5,'QB_Funds Analysis raw'!$B$5:$AC$5, _xlfn.XLOOKUP($A71,'QB_Funds Analysis raw'!$A$6:$A$104,'QB_Funds Analysis raw'!$B$6:$AC$104))),0,(_xlfn.XLOOKUP(T$5,'QB_Funds Analysis raw'!$B$5:$AC$5, _xlfn.XLOOKUP($A71,'QB_Funds Analysis raw'!$A$6:$A$104,'QB_Funds Analysis raw'!$B$6:$AC$104))))</f>
        <v>0</v>
      </c>
      <c r="U71" s="142" cm="1">
        <f t="array" ref="U71">IF(ISERROR(_xlfn.XLOOKUP(U$5,'QB_Funds Analysis raw'!$B$5:$AC$5, _xlfn.XLOOKUP($A71,'QB_Funds Analysis raw'!$A$6:$A$104,'QB_Funds Analysis raw'!$B$6:$AC$104))),0,(_xlfn.XLOOKUP(U$5,'QB_Funds Analysis raw'!$B$5:$AC$5, _xlfn.XLOOKUP($A71,'QB_Funds Analysis raw'!$A$6:$A$104,'QB_Funds Analysis raw'!$B$6:$AC$104))))</f>
        <v>0</v>
      </c>
      <c r="V71" s="142" cm="1">
        <f t="array" ref="V71">IF(ISERROR(_xlfn.XLOOKUP(V$5,'QB_Funds Analysis raw'!$B$5:$AC$5, _xlfn.XLOOKUP($A71,'QB_Funds Analysis raw'!$A$6:$A$104,'QB_Funds Analysis raw'!$B$6:$AC$104))),0,(_xlfn.XLOOKUP(V$5,'QB_Funds Analysis raw'!$B$5:$AC$5, _xlfn.XLOOKUP($A71,'QB_Funds Analysis raw'!$A$6:$A$104,'QB_Funds Analysis raw'!$B$6:$AC$104))))</f>
        <v>0</v>
      </c>
      <c r="W71" s="142" cm="1">
        <f t="array" ref="W71">IF(ISERROR(_xlfn.XLOOKUP(W$5,'QB_Funds Analysis raw'!$B$5:$AC$5, _xlfn.XLOOKUP($A71,'QB_Funds Analysis raw'!$A$6:$A$104,'QB_Funds Analysis raw'!$B$6:$AC$104))),0,(_xlfn.XLOOKUP(W$5,'QB_Funds Analysis raw'!$B$5:$AC$5, _xlfn.XLOOKUP($A71,'QB_Funds Analysis raw'!$A$6:$A$104,'QB_Funds Analysis raw'!$B$6:$AC$104))))</f>
        <v>0</v>
      </c>
      <c r="X71" s="142" cm="1">
        <f t="array" ref="X71">IF(ISERROR(_xlfn.XLOOKUP(X$5,'QB_Funds Analysis raw'!$B$5:$AC$5, _xlfn.XLOOKUP($A71,'QB_Funds Analysis raw'!$A$6:$A$104,'QB_Funds Analysis raw'!$B$6:$AC$104))),0,(_xlfn.XLOOKUP(X$5,'QB_Funds Analysis raw'!$B$5:$AC$5, _xlfn.XLOOKUP($A71,'QB_Funds Analysis raw'!$A$6:$A$104,'QB_Funds Analysis raw'!$B$6:$AC$104))))</f>
        <v>0</v>
      </c>
      <c r="Y71" s="142" cm="1">
        <f t="array" ref="Y71">IF(ISERROR(_xlfn.XLOOKUP(Y$5,'QB_Funds Analysis raw'!$B$5:$AC$5, _xlfn.XLOOKUP($A71,'QB_Funds Analysis raw'!$A$6:$A$104,'QB_Funds Analysis raw'!$B$6:$AC$104))),0,(_xlfn.XLOOKUP(Y$5,'QB_Funds Analysis raw'!$B$5:$AC$5, _xlfn.XLOOKUP($A71,'QB_Funds Analysis raw'!$A$6:$A$104,'QB_Funds Analysis raw'!$B$6:$AC$104))))</f>
        <v>0</v>
      </c>
      <c r="Z71" s="142" cm="1">
        <f t="array" ref="Z71">IF(ISERROR(_xlfn.XLOOKUP(Z$5,'QB_Funds Analysis raw'!$B$5:$AC$5, _xlfn.XLOOKUP($A71,'QB_Funds Analysis raw'!$A$6:$A$104,'QB_Funds Analysis raw'!$B$6:$AC$104))),0,(_xlfn.XLOOKUP(Z$5,'QB_Funds Analysis raw'!$B$5:$AC$5, _xlfn.XLOOKUP($A71,'QB_Funds Analysis raw'!$A$6:$A$104,'QB_Funds Analysis raw'!$B$6:$AC$104))))</f>
        <v>0</v>
      </c>
      <c r="AA71" s="142" cm="1">
        <f t="array" ref="AA71">IF(ISERROR(_xlfn.XLOOKUP(AA$5,'QB_Funds Analysis raw'!$B$5:$AC$5, _xlfn.XLOOKUP($A71,'QB_Funds Analysis raw'!$A$6:$A$104,'QB_Funds Analysis raw'!$B$6:$AC$104))),0,(_xlfn.XLOOKUP(AA$5,'QB_Funds Analysis raw'!$B$5:$AC$5, _xlfn.XLOOKUP($A71,'QB_Funds Analysis raw'!$A$6:$A$104,'QB_Funds Analysis raw'!$B$6:$AC$104))))</f>
        <v>0</v>
      </c>
      <c r="AB71" s="142" cm="1">
        <f t="array" ref="AB71">IF(ISERROR(_xlfn.XLOOKUP(AB$5,'QB_Funds Analysis raw'!$B$5:$AC$5, _xlfn.XLOOKUP($A71,'QB_Funds Analysis raw'!$A$6:$A$104,'QB_Funds Analysis raw'!$B$6:$AC$104))),0,(_xlfn.XLOOKUP(AB$5,'QB_Funds Analysis raw'!$B$5:$AC$5, _xlfn.XLOOKUP($A71,'QB_Funds Analysis raw'!$A$6:$A$104,'QB_Funds Analysis raw'!$B$6:$AC$104))))</f>
        <v>1046.05</v>
      </c>
      <c r="AC71" s="142" cm="1">
        <f t="array" ref="AC71">IF(ISERROR(_xlfn.XLOOKUP(AC$5,'QB_Funds Analysis raw'!$B$5:$AC$5, _xlfn.XLOOKUP($A71,'QB_Funds Analysis raw'!$A$6:$A$104,'QB_Funds Analysis raw'!$B$6:$AC$104))),0,(_xlfn.XLOOKUP(AC$5,'QB_Funds Analysis raw'!$B$5:$AC$5, _xlfn.XLOOKUP($A71,'QB_Funds Analysis raw'!$A$6:$A$104,'QB_Funds Analysis raw'!$B$6:$AC$104))))</f>
        <v>1320.65</v>
      </c>
      <c r="AD71" s="167">
        <f t="shared" si="13"/>
        <v>1320.65</v>
      </c>
      <c r="AE71" s="167">
        <f t="shared" si="4"/>
        <v>0</v>
      </c>
    </row>
    <row r="72" spans="1:31" ht="20.25" customHeight="1" x14ac:dyDescent="0.25">
      <c r="A72" s="2" t="s">
        <v>365</v>
      </c>
      <c r="B72" s="142" cm="1">
        <f t="array" ref="B72">IF(ISERROR(_xlfn.XLOOKUP(B$5,'QB_Funds Analysis raw'!$B$5:$AC$5, _xlfn.XLOOKUP($A72,'QB_Funds Analysis raw'!$A$6:$A$104,'QB_Funds Analysis raw'!$B$6:$AC$104))),0,(_xlfn.XLOOKUP(B$5,'QB_Funds Analysis raw'!$B$5:$AC$5, _xlfn.XLOOKUP($A72,'QB_Funds Analysis raw'!$A$6:$A$104,'QB_Funds Analysis raw'!$B$6:$AC$104))))</f>
        <v>0</v>
      </c>
      <c r="C72" s="142" cm="1">
        <f t="array" ref="C72">IF(ISERROR(_xlfn.XLOOKUP(C$5,'QB_Funds Analysis raw'!$B$5:$AC$5, _xlfn.XLOOKUP($A72,'QB_Funds Analysis raw'!$A$6:$A$104,'QB_Funds Analysis raw'!$B$6:$AC$104))),0,(_xlfn.XLOOKUP(C$5,'QB_Funds Analysis raw'!$B$5:$AC$5, _xlfn.XLOOKUP($A72,'QB_Funds Analysis raw'!$A$6:$A$104,'QB_Funds Analysis raw'!$B$6:$AC$104))))</f>
        <v>0</v>
      </c>
      <c r="D72" s="252" cm="1">
        <f t="array" ref="D72">IF(ISERROR(_xlfn.XLOOKUP(D$5,'QB_Funds Analysis raw'!$B$5:$AC$5, _xlfn.XLOOKUP($A72,'QB_Funds Analysis raw'!$A$6:$A$104,'QB_Funds Analysis raw'!$B$6:$AC$104))),0,(_xlfn.XLOOKUP(D$5,'QB_Funds Analysis raw'!$B$5:$AC$5, _xlfn.XLOOKUP($A72,'QB_Funds Analysis raw'!$A$6:$A$104,'QB_Funds Analysis raw'!$B$6:$AC$104))))</f>
        <v>0</v>
      </c>
      <c r="E72" s="142" cm="1">
        <f t="array" ref="E72">IF(ISERROR(_xlfn.XLOOKUP(E$5,'QB_Funds Analysis raw'!$B$5:$AC$5, _xlfn.XLOOKUP($A72,'QB_Funds Analysis raw'!$A$6:$A$104,'QB_Funds Analysis raw'!$B$6:$AC$104))),0,(_xlfn.XLOOKUP(E$5,'QB_Funds Analysis raw'!$B$5:$AC$5, _xlfn.XLOOKUP($A72,'QB_Funds Analysis raw'!$A$6:$A$104,'QB_Funds Analysis raw'!$B$6:$AC$104))))</f>
        <v>0</v>
      </c>
      <c r="F72" s="142" cm="1">
        <f t="array" ref="F72">IF(ISERROR(_xlfn.XLOOKUP(F$5,'QB_Funds Analysis raw'!$B$5:$AC$5, _xlfn.XLOOKUP($A72,'QB_Funds Analysis raw'!$A$6:$A$104,'QB_Funds Analysis raw'!$B$6:$AC$104))),0,(_xlfn.XLOOKUP(F$5,'QB_Funds Analysis raw'!$B$5:$AC$5, _xlfn.XLOOKUP($A72,'QB_Funds Analysis raw'!$A$6:$A$104,'QB_Funds Analysis raw'!$B$6:$AC$104))))</f>
        <v>0</v>
      </c>
      <c r="G72" s="142" cm="1">
        <f t="array" ref="G72">IF(ISERROR(_xlfn.XLOOKUP(G$5,'QB_Funds Analysis raw'!$B$5:$AC$5, _xlfn.XLOOKUP($A72,'QB_Funds Analysis raw'!$A$6:$A$104,'QB_Funds Analysis raw'!$B$6:$AC$104))),0,(_xlfn.XLOOKUP(G$5,'QB_Funds Analysis raw'!$B$5:$AC$5, _xlfn.XLOOKUP($A72,'QB_Funds Analysis raw'!$A$6:$A$104,'QB_Funds Analysis raw'!$B$6:$AC$104))))</f>
        <v>0</v>
      </c>
      <c r="H72" s="142" cm="1">
        <f t="array" ref="H72">IF(ISERROR(_xlfn.XLOOKUP(H$5,'QB_Funds Analysis raw'!$B$5:$AC$5, _xlfn.XLOOKUP($A72,'QB_Funds Analysis raw'!$A$6:$A$104,'QB_Funds Analysis raw'!$B$6:$AC$104))),0,(_xlfn.XLOOKUP(H$5,'QB_Funds Analysis raw'!$B$5:$AC$5, _xlfn.XLOOKUP($A72,'QB_Funds Analysis raw'!$A$6:$A$104,'QB_Funds Analysis raw'!$B$6:$AC$104))))</f>
        <v>0</v>
      </c>
      <c r="I72" s="142" cm="1">
        <f t="array" ref="I72">IF(ISERROR(_xlfn.XLOOKUP(I$5,'QB_Funds Analysis raw'!$B$5:$AC$5, _xlfn.XLOOKUP($A72,'QB_Funds Analysis raw'!$A$6:$A$104,'QB_Funds Analysis raw'!$B$6:$AC$104))),0,(_xlfn.XLOOKUP(I$5,'QB_Funds Analysis raw'!$B$5:$AC$5, _xlfn.XLOOKUP($A72,'QB_Funds Analysis raw'!$A$6:$A$104,'QB_Funds Analysis raw'!$B$6:$AC$104))))</f>
        <v>0</v>
      </c>
      <c r="J72" s="142" cm="1">
        <f t="array" ref="J72">IF(ISERROR(_xlfn.XLOOKUP(J$5,'QB_Funds Analysis raw'!$B$5:$AC$5, _xlfn.XLOOKUP($A72,'QB_Funds Analysis raw'!$A$6:$A$104,'QB_Funds Analysis raw'!$B$6:$AC$104))),0,(_xlfn.XLOOKUP(J$5,'QB_Funds Analysis raw'!$B$5:$AC$5, _xlfn.XLOOKUP($A72,'QB_Funds Analysis raw'!$A$6:$A$104,'QB_Funds Analysis raw'!$B$6:$AC$104))))</f>
        <v>0</v>
      </c>
      <c r="K72" s="252" cm="1">
        <f t="array" ref="K72">IF(ISERROR(_xlfn.XLOOKUP(K$5,'QB_Funds Analysis raw'!$B$5:$AC$5, _xlfn.XLOOKUP($A72,'QB_Funds Analysis raw'!$A$6:$A$104,'QB_Funds Analysis raw'!$B$6:$AC$104))),0,(_xlfn.XLOOKUP(K$5,'QB_Funds Analysis raw'!$B$5:$AC$5, _xlfn.XLOOKUP($A72,'QB_Funds Analysis raw'!$A$6:$A$104,'QB_Funds Analysis raw'!$B$6:$AC$104))))</f>
        <v>0</v>
      </c>
      <c r="L72" s="142" cm="1">
        <f t="array" ref="L72">IF(ISERROR(_xlfn.XLOOKUP(L$5,'QB_Funds Analysis raw'!$B$5:$AC$5, _xlfn.XLOOKUP($A72,'QB_Funds Analysis raw'!$A$6:$A$104,'QB_Funds Analysis raw'!$B$6:$AC$104))),0,(_xlfn.XLOOKUP(L$5,'QB_Funds Analysis raw'!$B$5:$AC$5, _xlfn.XLOOKUP($A72,'QB_Funds Analysis raw'!$A$6:$A$104,'QB_Funds Analysis raw'!$B$6:$AC$104))))</f>
        <v>0</v>
      </c>
      <c r="M72" s="142" cm="1">
        <f t="array" ref="M72">IF(ISERROR(_xlfn.XLOOKUP(M$5,'QB_Funds Analysis raw'!$B$5:$AC$5, _xlfn.XLOOKUP($A72,'QB_Funds Analysis raw'!$A$6:$A$104,'QB_Funds Analysis raw'!$B$6:$AC$104))),0,(_xlfn.XLOOKUP(M$5,'QB_Funds Analysis raw'!$B$5:$AC$5, _xlfn.XLOOKUP($A72,'QB_Funds Analysis raw'!$A$6:$A$104,'QB_Funds Analysis raw'!$B$6:$AC$104))))</f>
        <v>0</v>
      </c>
      <c r="N72" s="252" cm="1">
        <f t="array" ref="N72">IF(ISERROR(_xlfn.XLOOKUP(N$5,'QB_Funds Analysis raw'!$B$5:$AC$5, _xlfn.XLOOKUP($A72,'QB_Funds Analysis raw'!$A$6:$A$104,'QB_Funds Analysis raw'!$B$6:$AC$104))),0,(_xlfn.XLOOKUP(N$5,'QB_Funds Analysis raw'!$B$5:$AC$5, _xlfn.XLOOKUP($A72,'QB_Funds Analysis raw'!$A$6:$A$104,'QB_Funds Analysis raw'!$B$6:$AC$104))))</f>
        <v>0</v>
      </c>
      <c r="O72" s="252" cm="1">
        <f t="array" ref="O72">IF(ISERROR(_xlfn.XLOOKUP(O$5,'QB_Funds Analysis raw'!$B$5:$AC$5, _xlfn.XLOOKUP($A72,'QB_Funds Analysis raw'!$A$6:$A$104,'QB_Funds Analysis raw'!$B$6:$AC$104))),0,(_xlfn.XLOOKUP(O$5,'QB_Funds Analysis raw'!$B$5:$AC$5, _xlfn.XLOOKUP($A72,'QB_Funds Analysis raw'!$A$6:$A$104,'QB_Funds Analysis raw'!$B$6:$AC$104))))</f>
        <v>0</v>
      </c>
      <c r="P72" s="142" cm="1">
        <f t="array" ref="P72">IF(ISERROR(_xlfn.XLOOKUP(P$5,'QB_Funds Analysis raw'!$B$5:$AC$5, _xlfn.XLOOKUP($A72,'QB_Funds Analysis raw'!$A$6:$A$104,'QB_Funds Analysis raw'!$B$6:$AC$104))),0,(_xlfn.XLOOKUP(P$5,'QB_Funds Analysis raw'!$B$5:$AC$5, _xlfn.XLOOKUP($A72,'QB_Funds Analysis raw'!$A$6:$A$104,'QB_Funds Analysis raw'!$B$6:$AC$104))))</f>
        <v>0</v>
      </c>
      <c r="Q72" s="247" cm="1">
        <f t="array" ref="Q72">IF(ISERROR(_xlfn.XLOOKUP(Q$5,'QB_Funds Analysis raw'!$B$5:$AC$5, _xlfn.XLOOKUP($A72,'QB_Funds Analysis raw'!$A$6:$A$104,'QB_Funds Analysis raw'!$B$6:$AC$104))),0,(_xlfn.XLOOKUP(Q$5,'QB_Funds Analysis raw'!$B$5:$AC$5, _xlfn.XLOOKUP($A72,'QB_Funds Analysis raw'!$A$6:$A$104,'QB_Funds Analysis raw'!$B$6:$AC$104))))</f>
        <v>0</v>
      </c>
      <c r="R72" s="142" cm="1">
        <f t="array" ref="R72">IF(ISERROR(_xlfn.XLOOKUP(R$5,'QB_Funds Analysis raw'!$B$5:$AC$5, _xlfn.XLOOKUP($A72,'QB_Funds Analysis raw'!$A$6:$A$104,'QB_Funds Analysis raw'!$B$6:$AC$104))),0,(_xlfn.XLOOKUP(R$5,'QB_Funds Analysis raw'!$B$5:$AC$5, _xlfn.XLOOKUP($A72,'QB_Funds Analysis raw'!$A$6:$A$104,'QB_Funds Analysis raw'!$B$6:$AC$104))))</f>
        <v>0</v>
      </c>
      <c r="S72" s="142" cm="1">
        <f t="array" ref="S72">IF(ISERROR(_xlfn.XLOOKUP(S$5,'QB_Funds Analysis raw'!$B$5:$AC$5, _xlfn.XLOOKUP($A72,'QB_Funds Analysis raw'!$A$6:$A$104,'QB_Funds Analysis raw'!$B$6:$AC$104))),0,(_xlfn.XLOOKUP(S$5,'QB_Funds Analysis raw'!$B$5:$AC$5, _xlfn.XLOOKUP($A72,'QB_Funds Analysis raw'!$A$6:$A$104,'QB_Funds Analysis raw'!$B$6:$AC$104))))</f>
        <v>0</v>
      </c>
      <c r="T72" s="142" cm="1">
        <f t="array" ref="T72">IF(ISERROR(_xlfn.XLOOKUP(T$5,'QB_Funds Analysis raw'!$B$5:$AC$5, _xlfn.XLOOKUP($A72,'QB_Funds Analysis raw'!$A$6:$A$104,'QB_Funds Analysis raw'!$B$6:$AC$104))),0,(_xlfn.XLOOKUP(T$5,'QB_Funds Analysis raw'!$B$5:$AC$5, _xlfn.XLOOKUP($A72,'QB_Funds Analysis raw'!$A$6:$A$104,'QB_Funds Analysis raw'!$B$6:$AC$104))))</f>
        <v>0</v>
      </c>
      <c r="U72" s="142" cm="1">
        <f t="array" ref="U72">IF(ISERROR(_xlfn.XLOOKUP(U$5,'QB_Funds Analysis raw'!$B$5:$AC$5, _xlfn.XLOOKUP($A72,'QB_Funds Analysis raw'!$A$6:$A$104,'QB_Funds Analysis raw'!$B$6:$AC$104))),0,(_xlfn.XLOOKUP(U$5,'QB_Funds Analysis raw'!$B$5:$AC$5, _xlfn.XLOOKUP($A72,'QB_Funds Analysis raw'!$A$6:$A$104,'QB_Funds Analysis raw'!$B$6:$AC$104))))</f>
        <v>0</v>
      </c>
      <c r="V72" s="142" cm="1">
        <f t="array" ref="V72">IF(ISERROR(_xlfn.XLOOKUP(V$5,'QB_Funds Analysis raw'!$B$5:$AC$5, _xlfn.XLOOKUP($A72,'QB_Funds Analysis raw'!$A$6:$A$104,'QB_Funds Analysis raw'!$B$6:$AC$104))),0,(_xlfn.XLOOKUP(V$5,'QB_Funds Analysis raw'!$B$5:$AC$5, _xlfn.XLOOKUP($A72,'QB_Funds Analysis raw'!$A$6:$A$104,'QB_Funds Analysis raw'!$B$6:$AC$104))))</f>
        <v>0</v>
      </c>
      <c r="W72" s="142" cm="1">
        <f t="array" ref="W72">IF(ISERROR(_xlfn.XLOOKUP(W$5,'QB_Funds Analysis raw'!$B$5:$AC$5, _xlfn.XLOOKUP($A72,'QB_Funds Analysis raw'!$A$6:$A$104,'QB_Funds Analysis raw'!$B$6:$AC$104))),0,(_xlfn.XLOOKUP(W$5,'QB_Funds Analysis raw'!$B$5:$AC$5, _xlfn.XLOOKUP($A72,'QB_Funds Analysis raw'!$A$6:$A$104,'QB_Funds Analysis raw'!$B$6:$AC$104))))</f>
        <v>0</v>
      </c>
      <c r="X72" s="142" cm="1">
        <f t="array" ref="X72">IF(ISERROR(_xlfn.XLOOKUP(X$5,'QB_Funds Analysis raw'!$B$5:$AC$5, _xlfn.XLOOKUP($A72,'QB_Funds Analysis raw'!$A$6:$A$104,'QB_Funds Analysis raw'!$B$6:$AC$104))),0,(_xlfn.XLOOKUP(X$5,'QB_Funds Analysis raw'!$B$5:$AC$5, _xlfn.XLOOKUP($A72,'QB_Funds Analysis raw'!$A$6:$A$104,'QB_Funds Analysis raw'!$B$6:$AC$104))))</f>
        <v>0</v>
      </c>
      <c r="Y72" s="142" cm="1">
        <f t="array" ref="Y72">IF(ISERROR(_xlfn.XLOOKUP(Y$5,'QB_Funds Analysis raw'!$B$5:$AC$5, _xlfn.XLOOKUP($A72,'QB_Funds Analysis raw'!$A$6:$A$104,'QB_Funds Analysis raw'!$B$6:$AC$104))),0,(_xlfn.XLOOKUP(Y$5,'QB_Funds Analysis raw'!$B$5:$AC$5, _xlfn.XLOOKUP($A72,'QB_Funds Analysis raw'!$A$6:$A$104,'QB_Funds Analysis raw'!$B$6:$AC$104))))</f>
        <v>0</v>
      </c>
      <c r="Z72" s="142" cm="1">
        <f t="array" ref="Z72">IF(ISERROR(_xlfn.XLOOKUP(Z$5,'QB_Funds Analysis raw'!$B$5:$AC$5, _xlfn.XLOOKUP($A72,'QB_Funds Analysis raw'!$A$6:$A$104,'QB_Funds Analysis raw'!$B$6:$AC$104))),0,(_xlfn.XLOOKUP(Z$5,'QB_Funds Analysis raw'!$B$5:$AC$5, _xlfn.XLOOKUP($A72,'QB_Funds Analysis raw'!$A$6:$A$104,'QB_Funds Analysis raw'!$B$6:$AC$104))))</f>
        <v>0</v>
      </c>
      <c r="AA72" s="142" cm="1">
        <f t="array" ref="AA72">IF(ISERROR(_xlfn.XLOOKUP(AA$5,'QB_Funds Analysis raw'!$B$5:$AC$5, _xlfn.XLOOKUP($A72,'QB_Funds Analysis raw'!$A$6:$A$104,'QB_Funds Analysis raw'!$B$6:$AC$104))),0,(_xlfn.XLOOKUP(AA$5,'QB_Funds Analysis raw'!$B$5:$AC$5, _xlfn.XLOOKUP($A72,'QB_Funds Analysis raw'!$A$6:$A$104,'QB_Funds Analysis raw'!$B$6:$AC$104))))</f>
        <v>0</v>
      </c>
      <c r="AB72" s="142" cm="1">
        <f t="array" ref="AB72">IF(ISERROR(_xlfn.XLOOKUP(AB$5,'QB_Funds Analysis raw'!$B$5:$AC$5, _xlfn.XLOOKUP($A72,'QB_Funds Analysis raw'!$A$6:$A$104,'QB_Funds Analysis raw'!$B$6:$AC$104))),0,(_xlfn.XLOOKUP(AB$5,'QB_Funds Analysis raw'!$B$5:$AC$5, _xlfn.XLOOKUP($A72,'QB_Funds Analysis raw'!$A$6:$A$104,'QB_Funds Analysis raw'!$B$6:$AC$104))))</f>
        <v>0</v>
      </c>
      <c r="AC72" s="142" cm="1">
        <f t="array" ref="AC72">IF(ISERROR(_xlfn.XLOOKUP(AC$5,'QB_Funds Analysis raw'!$B$5:$AC$5, _xlfn.XLOOKUP($A72,'QB_Funds Analysis raw'!$A$6:$A$104,'QB_Funds Analysis raw'!$B$6:$AC$104))),0,(_xlfn.XLOOKUP(AC$5,'QB_Funds Analysis raw'!$B$5:$AC$5, _xlfn.XLOOKUP($A72,'QB_Funds Analysis raw'!$A$6:$A$104,'QB_Funds Analysis raw'!$B$6:$AC$104))))</f>
        <v>0</v>
      </c>
      <c r="AD72" s="167">
        <f t="shared" si="13"/>
        <v>0</v>
      </c>
      <c r="AE72" s="167">
        <f t="shared" si="4"/>
        <v>0</v>
      </c>
    </row>
    <row r="73" spans="1:31" ht="20.25" customHeight="1" x14ac:dyDescent="0.25">
      <c r="A73" s="135" t="s">
        <v>72</v>
      </c>
      <c r="B73" s="153">
        <f>((((B68)+(B69))+(B70))+(B71))+(B72)</f>
        <v>0</v>
      </c>
      <c r="C73" s="153">
        <f t="shared" ref="C73:AC73" si="21">((((C68)+(C69))+(C70))+(C71))+(C72)</f>
        <v>0</v>
      </c>
      <c r="D73" s="253">
        <f t="shared" si="21"/>
        <v>0</v>
      </c>
      <c r="E73" s="153">
        <f t="shared" si="21"/>
        <v>0</v>
      </c>
      <c r="F73" s="153">
        <f t="shared" si="21"/>
        <v>69.599999999999994</v>
      </c>
      <c r="G73" s="153">
        <f t="shared" si="21"/>
        <v>0</v>
      </c>
      <c r="H73" s="153">
        <f t="shared" si="21"/>
        <v>0</v>
      </c>
      <c r="I73" s="153">
        <f t="shared" si="21"/>
        <v>0</v>
      </c>
      <c r="J73" s="153">
        <f t="shared" si="21"/>
        <v>69.599999999999994</v>
      </c>
      <c r="K73" s="253">
        <f t="shared" si="21"/>
        <v>0</v>
      </c>
      <c r="L73" s="153">
        <f t="shared" si="21"/>
        <v>504</v>
      </c>
      <c r="M73" s="153">
        <f t="shared" si="21"/>
        <v>0</v>
      </c>
      <c r="N73" s="253">
        <f t="shared" si="21"/>
        <v>205</v>
      </c>
      <c r="O73" s="253">
        <f t="shared" si="21"/>
        <v>0</v>
      </c>
      <c r="P73" s="153">
        <f t="shared" si="21"/>
        <v>0</v>
      </c>
      <c r="Q73" s="244">
        <f t="shared" si="21"/>
        <v>778.6</v>
      </c>
      <c r="R73" s="153">
        <f t="shared" si="21"/>
        <v>0</v>
      </c>
      <c r="S73" s="153">
        <f t="shared" si="21"/>
        <v>0</v>
      </c>
      <c r="T73" s="153">
        <f t="shared" si="21"/>
        <v>0</v>
      </c>
      <c r="U73" s="153">
        <f t="shared" si="21"/>
        <v>0</v>
      </c>
      <c r="V73" s="153">
        <f t="shared" si="21"/>
        <v>0</v>
      </c>
      <c r="W73" s="153">
        <f t="shared" si="21"/>
        <v>504</v>
      </c>
      <c r="X73" s="153">
        <f t="shared" si="21"/>
        <v>0</v>
      </c>
      <c r="Y73" s="153">
        <f t="shared" si="21"/>
        <v>0</v>
      </c>
      <c r="Z73" s="153">
        <f t="shared" si="21"/>
        <v>0</v>
      </c>
      <c r="AA73" s="153">
        <f t="shared" si="21"/>
        <v>0</v>
      </c>
      <c r="AB73" s="153">
        <f t="shared" si="21"/>
        <v>2035.4499999999998</v>
      </c>
      <c r="AC73" s="153">
        <f t="shared" si="21"/>
        <v>2814.05</v>
      </c>
      <c r="AD73" s="167">
        <f t="shared" si="13"/>
        <v>2814.0499999999997</v>
      </c>
      <c r="AE73" s="167">
        <f t="shared" si="4"/>
        <v>0</v>
      </c>
    </row>
    <row r="74" spans="1:31" ht="20.25" customHeight="1" x14ac:dyDescent="0.25">
      <c r="A74" s="137" t="s">
        <v>73</v>
      </c>
      <c r="B74" s="142" cm="1">
        <f t="array" ref="B74">IF(ISERROR(_xlfn.XLOOKUP(B$5,'QB_Funds Analysis raw'!$B$5:$AC$5, _xlfn.XLOOKUP($A74,'QB_Funds Analysis raw'!$A$6:$A$104,'QB_Funds Analysis raw'!$B$6:$AC$104))),0,(_xlfn.XLOOKUP(B$5,'QB_Funds Analysis raw'!$B$5:$AC$5, _xlfn.XLOOKUP($A74,'QB_Funds Analysis raw'!$A$6:$A$104,'QB_Funds Analysis raw'!$B$6:$AC$104))))</f>
        <v>0</v>
      </c>
      <c r="C74" s="142" cm="1">
        <f t="array" ref="C74">IF(ISERROR(_xlfn.XLOOKUP(C$5,'QB_Funds Analysis raw'!$B$5:$AC$5, _xlfn.XLOOKUP($A74,'QB_Funds Analysis raw'!$A$6:$A$104,'QB_Funds Analysis raw'!$B$6:$AC$104))),0,(_xlfn.XLOOKUP(C$5,'QB_Funds Analysis raw'!$B$5:$AC$5, _xlfn.XLOOKUP($A74,'QB_Funds Analysis raw'!$A$6:$A$104,'QB_Funds Analysis raw'!$B$6:$AC$104))))</f>
        <v>0</v>
      </c>
      <c r="D74" s="252" cm="1">
        <f t="array" ref="D74">IF(ISERROR(_xlfn.XLOOKUP(D$5,'QB_Funds Analysis raw'!$B$5:$AC$5, _xlfn.XLOOKUP($A74,'QB_Funds Analysis raw'!$A$6:$A$104,'QB_Funds Analysis raw'!$B$6:$AC$104))),0,(_xlfn.XLOOKUP(D$5,'QB_Funds Analysis raw'!$B$5:$AC$5, _xlfn.XLOOKUP($A74,'QB_Funds Analysis raw'!$A$6:$A$104,'QB_Funds Analysis raw'!$B$6:$AC$104))))</f>
        <v>0</v>
      </c>
      <c r="E74" s="142" cm="1">
        <f t="array" ref="E74">IF(ISERROR(_xlfn.XLOOKUP(E$5,'QB_Funds Analysis raw'!$B$5:$AC$5, _xlfn.XLOOKUP($A74,'QB_Funds Analysis raw'!$A$6:$A$104,'QB_Funds Analysis raw'!$B$6:$AC$104))),0,(_xlfn.XLOOKUP(E$5,'QB_Funds Analysis raw'!$B$5:$AC$5, _xlfn.XLOOKUP($A74,'QB_Funds Analysis raw'!$A$6:$A$104,'QB_Funds Analysis raw'!$B$6:$AC$104))))</f>
        <v>0</v>
      </c>
      <c r="F74" s="142" cm="1">
        <f t="array" ref="F74">IF(ISERROR(_xlfn.XLOOKUP(F$5,'QB_Funds Analysis raw'!$B$5:$AC$5, _xlfn.XLOOKUP($A74,'QB_Funds Analysis raw'!$A$6:$A$104,'QB_Funds Analysis raw'!$B$6:$AC$104))),0,(_xlfn.XLOOKUP(F$5,'QB_Funds Analysis raw'!$B$5:$AC$5, _xlfn.XLOOKUP($A74,'QB_Funds Analysis raw'!$A$6:$A$104,'QB_Funds Analysis raw'!$B$6:$AC$104))))</f>
        <v>0</v>
      </c>
      <c r="G74" s="142" cm="1">
        <f t="array" ref="G74">IF(ISERROR(_xlfn.XLOOKUP(G$5,'QB_Funds Analysis raw'!$B$5:$AC$5, _xlfn.XLOOKUP($A74,'QB_Funds Analysis raw'!$A$6:$A$104,'QB_Funds Analysis raw'!$B$6:$AC$104))),0,(_xlfn.XLOOKUP(G$5,'QB_Funds Analysis raw'!$B$5:$AC$5, _xlfn.XLOOKUP($A74,'QB_Funds Analysis raw'!$A$6:$A$104,'QB_Funds Analysis raw'!$B$6:$AC$104))))</f>
        <v>0</v>
      </c>
      <c r="H74" s="142" cm="1">
        <f t="array" ref="H74">IF(ISERROR(_xlfn.XLOOKUP(H$5,'QB_Funds Analysis raw'!$B$5:$AC$5, _xlfn.XLOOKUP($A74,'QB_Funds Analysis raw'!$A$6:$A$104,'QB_Funds Analysis raw'!$B$6:$AC$104))),0,(_xlfn.XLOOKUP(H$5,'QB_Funds Analysis raw'!$B$5:$AC$5, _xlfn.XLOOKUP($A74,'QB_Funds Analysis raw'!$A$6:$A$104,'QB_Funds Analysis raw'!$B$6:$AC$104))))</f>
        <v>0</v>
      </c>
      <c r="I74" s="142" cm="1">
        <f t="array" ref="I74">IF(ISERROR(_xlfn.XLOOKUP(I$5,'QB_Funds Analysis raw'!$B$5:$AC$5, _xlfn.XLOOKUP($A74,'QB_Funds Analysis raw'!$A$6:$A$104,'QB_Funds Analysis raw'!$B$6:$AC$104))),0,(_xlfn.XLOOKUP(I$5,'QB_Funds Analysis raw'!$B$5:$AC$5, _xlfn.XLOOKUP($A74,'QB_Funds Analysis raw'!$A$6:$A$104,'QB_Funds Analysis raw'!$B$6:$AC$104))))</f>
        <v>0</v>
      </c>
      <c r="J74" s="142" cm="1">
        <f t="array" ref="J74">IF(ISERROR(_xlfn.XLOOKUP(J$5,'QB_Funds Analysis raw'!$B$5:$AC$5, _xlfn.XLOOKUP($A74,'QB_Funds Analysis raw'!$A$6:$A$104,'QB_Funds Analysis raw'!$B$6:$AC$104))),0,(_xlfn.XLOOKUP(J$5,'QB_Funds Analysis raw'!$B$5:$AC$5, _xlfn.XLOOKUP($A74,'QB_Funds Analysis raw'!$A$6:$A$104,'QB_Funds Analysis raw'!$B$6:$AC$104))))</f>
        <v>0</v>
      </c>
      <c r="K74" s="252" cm="1">
        <f t="array" ref="K74">IF(ISERROR(_xlfn.XLOOKUP(K$5,'QB_Funds Analysis raw'!$B$5:$AC$5, _xlfn.XLOOKUP($A74,'QB_Funds Analysis raw'!$A$6:$A$104,'QB_Funds Analysis raw'!$B$6:$AC$104))),0,(_xlfn.XLOOKUP(K$5,'QB_Funds Analysis raw'!$B$5:$AC$5, _xlfn.XLOOKUP($A74,'QB_Funds Analysis raw'!$A$6:$A$104,'QB_Funds Analysis raw'!$B$6:$AC$104))))</f>
        <v>0</v>
      </c>
      <c r="L74" s="142" cm="1">
        <f t="array" ref="L74">IF(ISERROR(_xlfn.XLOOKUP(L$5,'QB_Funds Analysis raw'!$B$5:$AC$5, _xlfn.XLOOKUP($A74,'QB_Funds Analysis raw'!$A$6:$A$104,'QB_Funds Analysis raw'!$B$6:$AC$104))),0,(_xlfn.XLOOKUP(L$5,'QB_Funds Analysis raw'!$B$5:$AC$5, _xlfn.XLOOKUP($A74,'QB_Funds Analysis raw'!$A$6:$A$104,'QB_Funds Analysis raw'!$B$6:$AC$104))))</f>
        <v>0</v>
      </c>
      <c r="M74" s="142" cm="1">
        <f t="array" ref="M74">IF(ISERROR(_xlfn.XLOOKUP(M$5,'QB_Funds Analysis raw'!$B$5:$AC$5, _xlfn.XLOOKUP($A74,'QB_Funds Analysis raw'!$A$6:$A$104,'QB_Funds Analysis raw'!$B$6:$AC$104))),0,(_xlfn.XLOOKUP(M$5,'QB_Funds Analysis raw'!$B$5:$AC$5, _xlfn.XLOOKUP($A74,'QB_Funds Analysis raw'!$A$6:$A$104,'QB_Funds Analysis raw'!$B$6:$AC$104))))</f>
        <v>0</v>
      </c>
      <c r="N74" s="252" cm="1">
        <f t="array" ref="N74">IF(ISERROR(_xlfn.XLOOKUP(N$5,'QB_Funds Analysis raw'!$B$5:$AC$5, _xlfn.XLOOKUP($A74,'QB_Funds Analysis raw'!$A$6:$A$104,'QB_Funds Analysis raw'!$B$6:$AC$104))),0,(_xlfn.XLOOKUP(N$5,'QB_Funds Analysis raw'!$B$5:$AC$5, _xlfn.XLOOKUP($A74,'QB_Funds Analysis raw'!$A$6:$A$104,'QB_Funds Analysis raw'!$B$6:$AC$104))))</f>
        <v>0</v>
      </c>
      <c r="O74" s="252" cm="1">
        <f t="array" ref="O74">IF(ISERROR(_xlfn.XLOOKUP(O$5,'QB_Funds Analysis raw'!$B$5:$AC$5, _xlfn.XLOOKUP($A74,'QB_Funds Analysis raw'!$A$6:$A$104,'QB_Funds Analysis raw'!$B$6:$AC$104))),0,(_xlfn.XLOOKUP(O$5,'QB_Funds Analysis raw'!$B$5:$AC$5, _xlfn.XLOOKUP($A74,'QB_Funds Analysis raw'!$A$6:$A$104,'QB_Funds Analysis raw'!$B$6:$AC$104))))</f>
        <v>0</v>
      </c>
      <c r="P74" s="142" cm="1">
        <f t="array" ref="P74">IF(ISERROR(_xlfn.XLOOKUP(P$5,'QB_Funds Analysis raw'!$B$5:$AC$5, _xlfn.XLOOKUP($A74,'QB_Funds Analysis raw'!$A$6:$A$104,'QB_Funds Analysis raw'!$B$6:$AC$104))),0,(_xlfn.XLOOKUP(P$5,'QB_Funds Analysis raw'!$B$5:$AC$5, _xlfn.XLOOKUP($A74,'QB_Funds Analysis raw'!$A$6:$A$104,'QB_Funds Analysis raw'!$B$6:$AC$104))))</f>
        <v>0</v>
      </c>
      <c r="Q74" s="247" cm="1">
        <f t="array" ref="Q74">IF(ISERROR(_xlfn.XLOOKUP(Q$5,'QB_Funds Analysis raw'!$B$5:$AC$5, _xlfn.XLOOKUP($A74,'QB_Funds Analysis raw'!$A$6:$A$104,'QB_Funds Analysis raw'!$B$6:$AC$104))),0,(_xlfn.XLOOKUP(Q$5,'QB_Funds Analysis raw'!$B$5:$AC$5, _xlfn.XLOOKUP($A74,'QB_Funds Analysis raw'!$A$6:$A$104,'QB_Funds Analysis raw'!$B$6:$AC$104))))</f>
        <v>0</v>
      </c>
      <c r="R74" s="142" cm="1">
        <f t="array" ref="R74">IF(ISERROR(_xlfn.XLOOKUP(R$5,'QB_Funds Analysis raw'!$B$5:$AC$5, _xlfn.XLOOKUP($A74,'QB_Funds Analysis raw'!$A$6:$A$104,'QB_Funds Analysis raw'!$B$6:$AC$104))),0,(_xlfn.XLOOKUP(R$5,'QB_Funds Analysis raw'!$B$5:$AC$5, _xlfn.XLOOKUP($A74,'QB_Funds Analysis raw'!$A$6:$A$104,'QB_Funds Analysis raw'!$B$6:$AC$104))))</f>
        <v>0</v>
      </c>
      <c r="S74" s="142" cm="1">
        <f t="array" ref="S74">IF(ISERROR(_xlfn.XLOOKUP(S$5,'QB_Funds Analysis raw'!$B$5:$AC$5, _xlfn.XLOOKUP($A74,'QB_Funds Analysis raw'!$A$6:$A$104,'QB_Funds Analysis raw'!$B$6:$AC$104))),0,(_xlfn.XLOOKUP(S$5,'QB_Funds Analysis raw'!$B$5:$AC$5, _xlfn.XLOOKUP($A74,'QB_Funds Analysis raw'!$A$6:$A$104,'QB_Funds Analysis raw'!$B$6:$AC$104))))</f>
        <v>0</v>
      </c>
      <c r="T74" s="142" cm="1">
        <f t="array" ref="T74">IF(ISERROR(_xlfn.XLOOKUP(T$5,'QB_Funds Analysis raw'!$B$5:$AC$5, _xlfn.XLOOKUP($A74,'QB_Funds Analysis raw'!$A$6:$A$104,'QB_Funds Analysis raw'!$B$6:$AC$104))),0,(_xlfn.XLOOKUP(T$5,'QB_Funds Analysis raw'!$B$5:$AC$5, _xlfn.XLOOKUP($A74,'QB_Funds Analysis raw'!$A$6:$A$104,'QB_Funds Analysis raw'!$B$6:$AC$104))))</f>
        <v>0</v>
      </c>
      <c r="U74" s="142" cm="1">
        <f t="array" ref="U74">IF(ISERROR(_xlfn.XLOOKUP(U$5,'QB_Funds Analysis raw'!$B$5:$AC$5, _xlfn.XLOOKUP($A74,'QB_Funds Analysis raw'!$A$6:$A$104,'QB_Funds Analysis raw'!$B$6:$AC$104))),0,(_xlfn.XLOOKUP(U$5,'QB_Funds Analysis raw'!$B$5:$AC$5, _xlfn.XLOOKUP($A74,'QB_Funds Analysis raw'!$A$6:$A$104,'QB_Funds Analysis raw'!$B$6:$AC$104))))</f>
        <v>0</v>
      </c>
      <c r="V74" s="142" cm="1">
        <f t="array" ref="V74">IF(ISERROR(_xlfn.XLOOKUP(V$5,'QB_Funds Analysis raw'!$B$5:$AC$5, _xlfn.XLOOKUP($A74,'QB_Funds Analysis raw'!$A$6:$A$104,'QB_Funds Analysis raw'!$B$6:$AC$104))),0,(_xlfn.XLOOKUP(V$5,'QB_Funds Analysis raw'!$B$5:$AC$5, _xlfn.XLOOKUP($A74,'QB_Funds Analysis raw'!$A$6:$A$104,'QB_Funds Analysis raw'!$B$6:$AC$104))))</f>
        <v>0</v>
      </c>
      <c r="W74" s="142" cm="1">
        <f t="array" ref="W74">IF(ISERROR(_xlfn.XLOOKUP(W$5,'QB_Funds Analysis raw'!$B$5:$AC$5, _xlfn.XLOOKUP($A74,'QB_Funds Analysis raw'!$A$6:$A$104,'QB_Funds Analysis raw'!$B$6:$AC$104))),0,(_xlfn.XLOOKUP(W$5,'QB_Funds Analysis raw'!$B$5:$AC$5, _xlfn.XLOOKUP($A74,'QB_Funds Analysis raw'!$A$6:$A$104,'QB_Funds Analysis raw'!$B$6:$AC$104))))</f>
        <v>0</v>
      </c>
      <c r="X74" s="142" cm="1">
        <f t="array" ref="X74">IF(ISERROR(_xlfn.XLOOKUP(X$5,'QB_Funds Analysis raw'!$B$5:$AC$5, _xlfn.XLOOKUP($A74,'QB_Funds Analysis raw'!$A$6:$A$104,'QB_Funds Analysis raw'!$B$6:$AC$104))),0,(_xlfn.XLOOKUP(X$5,'QB_Funds Analysis raw'!$B$5:$AC$5, _xlfn.XLOOKUP($A74,'QB_Funds Analysis raw'!$A$6:$A$104,'QB_Funds Analysis raw'!$B$6:$AC$104))))</f>
        <v>0</v>
      </c>
      <c r="Y74" s="142" cm="1">
        <f t="array" ref="Y74">IF(ISERROR(_xlfn.XLOOKUP(Y$5,'QB_Funds Analysis raw'!$B$5:$AC$5, _xlfn.XLOOKUP($A74,'QB_Funds Analysis raw'!$A$6:$A$104,'QB_Funds Analysis raw'!$B$6:$AC$104))),0,(_xlfn.XLOOKUP(Y$5,'QB_Funds Analysis raw'!$B$5:$AC$5, _xlfn.XLOOKUP($A74,'QB_Funds Analysis raw'!$A$6:$A$104,'QB_Funds Analysis raw'!$B$6:$AC$104))))</f>
        <v>0</v>
      </c>
      <c r="Z74" s="142" cm="1">
        <f t="array" ref="Z74">IF(ISERROR(_xlfn.XLOOKUP(Z$5,'QB_Funds Analysis raw'!$B$5:$AC$5, _xlfn.XLOOKUP($A74,'QB_Funds Analysis raw'!$A$6:$A$104,'QB_Funds Analysis raw'!$B$6:$AC$104))),0,(_xlfn.XLOOKUP(Z$5,'QB_Funds Analysis raw'!$B$5:$AC$5, _xlfn.XLOOKUP($A74,'QB_Funds Analysis raw'!$A$6:$A$104,'QB_Funds Analysis raw'!$B$6:$AC$104))))</f>
        <v>0</v>
      </c>
      <c r="AA74" s="142" cm="1">
        <f t="array" ref="AA74">IF(ISERROR(_xlfn.XLOOKUP(AA$5,'QB_Funds Analysis raw'!$B$5:$AC$5, _xlfn.XLOOKUP($A74,'QB_Funds Analysis raw'!$A$6:$A$104,'QB_Funds Analysis raw'!$B$6:$AC$104))),0,(_xlfn.XLOOKUP(AA$5,'QB_Funds Analysis raw'!$B$5:$AC$5, _xlfn.XLOOKUP($A74,'QB_Funds Analysis raw'!$A$6:$A$104,'QB_Funds Analysis raw'!$B$6:$AC$104))))</f>
        <v>0</v>
      </c>
      <c r="AB74" s="142" cm="1">
        <f t="array" ref="AB74">IF(ISERROR(_xlfn.XLOOKUP(AB$5,'QB_Funds Analysis raw'!$B$5:$AC$5, _xlfn.XLOOKUP($A74,'QB_Funds Analysis raw'!$A$6:$A$104,'QB_Funds Analysis raw'!$B$6:$AC$104))),0,(_xlfn.XLOOKUP(AB$5,'QB_Funds Analysis raw'!$B$5:$AC$5, _xlfn.XLOOKUP($A74,'QB_Funds Analysis raw'!$A$6:$A$104,'QB_Funds Analysis raw'!$B$6:$AC$104))))</f>
        <v>1.46</v>
      </c>
      <c r="AC74" s="142" cm="1">
        <f t="array" ref="AC74">IF(ISERROR(_xlfn.XLOOKUP(AC$5,'QB_Funds Analysis raw'!$B$5:$AC$5, _xlfn.XLOOKUP($A74,'QB_Funds Analysis raw'!$A$6:$A$104,'QB_Funds Analysis raw'!$B$6:$AC$104))),0,(_xlfn.XLOOKUP(AC$5,'QB_Funds Analysis raw'!$B$5:$AC$5, _xlfn.XLOOKUP($A74,'QB_Funds Analysis raw'!$A$6:$A$104,'QB_Funds Analysis raw'!$B$6:$AC$104))))</f>
        <v>1.46</v>
      </c>
      <c r="AD74" s="167">
        <f t="shared" si="13"/>
        <v>1.46</v>
      </c>
      <c r="AE74" s="167">
        <f t="shared" ref="AE74:AE120" si="22">AD74-AC74</f>
        <v>0</v>
      </c>
    </row>
    <row r="75" spans="1:31" ht="20.25" customHeight="1" x14ac:dyDescent="0.25">
      <c r="A75" s="2" t="s">
        <v>74</v>
      </c>
      <c r="B75" s="142" cm="1">
        <f t="array" ref="B75">IF(ISERROR(_xlfn.XLOOKUP(B$5,'QB_Funds Analysis raw'!$B$5:$AC$5, _xlfn.XLOOKUP($A75,'QB_Funds Analysis raw'!$A$6:$A$104,'QB_Funds Analysis raw'!$B$6:$AC$104))),0,(_xlfn.XLOOKUP(B$5,'QB_Funds Analysis raw'!$B$5:$AC$5, _xlfn.XLOOKUP($A75,'QB_Funds Analysis raw'!$A$6:$A$104,'QB_Funds Analysis raw'!$B$6:$AC$104))))</f>
        <v>0</v>
      </c>
      <c r="C75" s="142" cm="1">
        <f t="array" ref="C75">IF(ISERROR(_xlfn.XLOOKUP(C$5,'QB_Funds Analysis raw'!$B$5:$AC$5, _xlfn.XLOOKUP($A75,'QB_Funds Analysis raw'!$A$6:$A$104,'QB_Funds Analysis raw'!$B$6:$AC$104))),0,(_xlfn.XLOOKUP(C$5,'QB_Funds Analysis raw'!$B$5:$AC$5, _xlfn.XLOOKUP($A75,'QB_Funds Analysis raw'!$A$6:$A$104,'QB_Funds Analysis raw'!$B$6:$AC$104))))</f>
        <v>0</v>
      </c>
      <c r="D75" s="252" cm="1">
        <f t="array" ref="D75">IF(ISERROR(_xlfn.XLOOKUP(D$5,'QB_Funds Analysis raw'!$B$5:$AC$5, _xlfn.XLOOKUP($A75,'QB_Funds Analysis raw'!$A$6:$A$104,'QB_Funds Analysis raw'!$B$6:$AC$104))),0,(_xlfn.XLOOKUP(D$5,'QB_Funds Analysis raw'!$B$5:$AC$5, _xlfn.XLOOKUP($A75,'QB_Funds Analysis raw'!$A$6:$A$104,'QB_Funds Analysis raw'!$B$6:$AC$104))))</f>
        <v>0</v>
      </c>
      <c r="E75" s="142" cm="1">
        <f t="array" ref="E75">IF(ISERROR(_xlfn.XLOOKUP(E$5,'QB_Funds Analysis raw'!$B$5:$AC$5, _xlfn.XLOOKUP($A75,'QB_Funds Analysis raw'!$A$6:$A$104,'QB_Funds Analysis raw'!$B$6:$AC$104))),0,(_xlfn.XLOOKUP(E$5,'QB_Funds Analysis raw'!$B$5:$AC$5, _xlfn.XLOOKUP($A75,'QB_Funds Analysis raw'!$A$6:$A$104,'QB_Funds Analysis raw'!$B$6:$AC$104))))</f>
        <v>0</v>
      </c>
      <c r="F75" s="142" cm="1">
        <f t="array" ref="F75">IF(ISERROR(_xlfn.XLOOKUP(F$5,'QB_Funds Analysis raw'!$B$5:$AC$5, _xlfn.XLOOKUP($A75,'QB_Funds Analysis raw'!$A$6:$A$104,'QB_Funds Analysis raw'!$B$6:$AC$104))),0,(_xlfn.XLOOKUP(F$5,'QB_Funds Analysis raw'!$B$5:$AC$5, _xlfn.XLOOKUP($A75,'QB_Funds Analysis raw'!$A$6:$A$104,'QB_Funds Analysis raw'!$B$6:$AC$104))))</f>
        <v>0</v>
      </c>
      <c r="G75" s="142" cm="1">
        <f t="array" ref="G75">IF(ISERROR(_xlfn.XLOOKUP(G$5,'QB_Funds Analysis raw'!$B$5:$AC$5, _xlfn.XLOOKUP($A75,'QB_Funds Analysis raw'!$A$6:$A$104,'QB_Funds Analysis raw'!$B$6:$AC$104))),0,(_xlfn.XLOOKUP(G$5,'QB_Funds Analysis raw'!$B$5:$AC$5, _xlfn.XLOOKUP($A75,'QB_Funds Analysis raw'!$A$6:$A$104,'QB_Funds Analysis raw'!$B$6:$AC$104))))</f>
        <v>0</v>
      </c>
      <c r="H75" s="142" cm="1">
        <f t="array" ref="H75">IF(ISERROR(_xlfn.XLOOKUP(H$5,'QB_Funds Analysis raw'!$B$5:$AC$5, _xlfn.XLOOKUP($A75,'QB_Funds Analysis raw'!$A$6:$A$104,'QB_Funds Analysis raw'!$B$6:$AC$104))),0,(_xlfn.XLOOKUP(H$5,'QB_Funds Analysis raw'!$B$5:$AC$5, _xlfn.XLOOKUP($A75,'QB_Funds Analysis raw'!$A$6:$A$104,'QB_Funds Analysis raw'!$B$6:$AC$104))))</f>
        <v>0</v>
      </c>
      <c r="I75" s="142" cm="1">
        <f t="array" ref="I75">IF(ISERROR(_xlfn.XLOOKUP(I$5,'QB_Funds Analysis raw'!$B$5:$AC$5, _xlfn.XLOOKUP($A75,'QB_Funds Analysis raw'!$A$6:$A$104,'QB_Funds Analysis raw'!$B$6:$AC$104))),0,(_xlfn.XLOOKUP(I$5,'QB_Funds Analysis raw'!$B$5:$AC$5, _xlfn.XLOOKUP($A75,'QB_Funds Analysis raw'!$A$6:$A$104,'QB_Funds Analysis raw'!$B$6:$AC$104))))</f>
        <v>0</v>
      </c>
      <c r="J75" s="142" cm="1">
        <f t="array" ref="J75">IF(ISERROR(_xlfn.XLOOKUP(J$5,'QB_Funds Analysis raw'!$B$5:$AC$5, _xlfn.XLOOKUP($A75,'QB_Funds Analysis raw'!$A$6:$A$104,'QB_Funds Analysis raw'!$B$6:$AC$104))),0,(_xlfn.XLOOKUP(J$5,'QB_Funds Analysis raw'!$B$5:$AC$5, _xlfn.XLOOKUP($A75,'QB_Funds Analysis raw'!$A$6:$A$104,'QB_Funds Analysis raw'!$B$6:$AC$104))))</f>
        <v>0</v>
      </c>
      <c r="K75" s="252" cm="1">
        <f t="array" ref="K75">IF(ISERROR(_xlfn.XLOOKUP(K$5,'QB_Funds Analysis raw'!$B$5:$AC$5, _xlfn.XLOOKUP($A75,'QB_Funds Analysis raw'!$A$6:$A$104,'QB_Funds Analysis raw'!$B$6:$AC$104))),0,(_xlfn.XLOOKUP(K$5,'QB_Funds Analysis raw'!$B$5:$AC$5, _xlfn.XLOOKUP($A75,'QB_Funds Analysis raw'!$A$6:$A$104,'QB_Funds Analysis raw'!$B$6:$AC$104))))</f>
        <v>115.2</v>
      </c>
      <c r="L75" s="142" cm="1">
        <f t="array" ref="L75">IF(ISERROR(_xlfn.XLOOKUP(L$5,'QB_Funds Analysis raw'!$B$5:$AC$5, _xlfn.XLOOKUP($A75,'QB_Funds Analysis raw'!$A$6:$A$104,'QB_Funds Analysis raw'!$B$6:$AC$104))),0,(_xlfn.XLOOKUP(L$5,'QB_Funds Analysis raw'!$B$5:$AC$5, _xlfn.XLOOKUP($A75,'QB_Funds Analysis raw'!$A$6:$A$104,'QB_Funds Analysis raw'!$B$6:$AC$104))))</f>
        <v>0</v>
      </c>
      <c r="M75" s="142" cm="1">
        <f t="array" ref="M75">IF(ISERROR(_xlfn.XLOOKUP(M$5,'QB_Funds Analysis raw'!$B$5:$AC$5, _xlfn.XLOOKUP($A75,'QB_Funds Analysis raw'!$A$6:$A$104,'QB_Funds Analysis raw'!$B$6:$AC$104))),0,(_xlfn.XLOOKUP(M$5,'QB_Funds Analysis raw'!$B$5:$AC$5, _xlfn.XLOOKUP($A75,'QB_Funds Analysis raw'!$A$6:$A$104,'QB_Funds Analysis raw'!$B$6:$AC$104))))</f>
        <v>0</v>
      </c>
      <c r="N75" s="252" cm="1">
        <f t="array" ref="N75">IF(ISERROR(_xlfn.XLOOKUP(N$5,'QB_Funds Analysis raw'!$B$5:$AC$5, _xlfn.XLOOKUP($A75,'QB_Funds Analysis raw'!$A$6:$A$104,'QB_Funds Analysis raw'!$B$6:$AC$104))),0,(_xlfn.XLOOKUP(N$5,'QB_Funds Analysis raw'!$B$5:$AC$5, _xlfn.XLOOKUP($A75,'QB_Funds Analysis raw'!$A$6:$A$104,'QB_Funds Analysis raw'!$B$6:$AC$104))))</f>
        <v>0</v>
      </c>
      <c r="O75" s="252" cm="1">
        <f t="array" ref="O75">IF(ISERROR(_xlfn.XLOOKUP(O$5,'QB_Funds Analysis raw'!$B$5:$AC$5, _xlfn.XLOOKUP($A75,'QB_Funds Analysis raw'!$A$6:$A$104,'QB_Funds Analysis raw'!$B$6:$AC$104))),0,(_xlfn.XLOOKUP(O$5,'QB_Funds Analysis raw'!$B$5:$AC$5, _xlfn.XLOOKUP($A75,'QB_Funds Analysis raw'!$A$6:$A$104,'QB_Funds Analysis raw'!$B$6:$AC$104))))</f>
        <v>0</v>
      </c>
      <c r="P75" s="142" cm="1">
        <f t="array" ref="P75">IF(ISERROR(_xlfn.XLOOKUP(P$5,'QB_Funds Analysis raw'!$B$5:$AC$5, _xlfn.XLOOKUP($A75,'QB_Funds Analysis raw'!$A$6:$A$104,'QB_Funds Analysis raw'!$B$6:$AC$104))),0,(_xlfn.XLOOKUP(P$5,'QB_Funds Analysis raw'!$B$5:$AC$5, _xlfn.XLOOKUP($A75,'QB_Funds Analysis raw'!$A$6:$A$104,'QB_Funds Analysis raw'!$B$6:$AC$104))))</f>
        <v>0</v>
      </c>
      <c r="Q75" s="247" cm="1">
        <f t="array" ref="Q75">IF(ISERROR(_xlfn.XLOOKUP(Q$5,'QB_Funds Analysis raw'!$B$5:$AC$5, _xlfn.XLOOKUP($A75,'QB_Funds Analysis raw'!$A$6:$A$104,'QB_Funds Analysis raw'!$B$6:$AC$104))),0,(_xlfn.XLOOKUP(Q$5,'QB_Funds Analysis raw'!$B$5:$AC$5, _xlfn.XLOOKUP($A75,'QB_Funds Analysis raw'!$A$6:$A$104,'QB_Funds Analysis raw'!$B$6:$AC$104))))</f>
        <v>115.2</v>
      </c>
      <c r="R75" s="142" cm="1">
        <f t="array" ref="R75">IF(ISERROR(_xlfn.XLOOKUP(R$5,'QB_Funds Analysis raw'!$B$5:$AC$5, _xlfn.XLOOKUP($A75,'QB_Funds Analysis raw'!$A$6:$A$104,'QB_Funds Analysis raw'!$B$6:$AC$104))),0,(_xlfn.XLOOKUP(R$5,'QB_Funds Analysis raw'!$B$5:$AC$5, _xlfn.XLOOKUP($A75,'QB_Funds Analysis raw'!$A$6:$A$104,'QB_Funds Analysis raw'!$B$6:$AC$104))))</f>
        <v>0</v>
      </c>
      <c r="S75" s="142" cm="1">
        <f t="array" ref="S75">IF(ISERROR(_xlfn.XLOOKUP(S$5,'QB_Funds Analysis raw'!$B$5:$AC$5, _xlfn.XLOOKUP($A75,'QB_Funds Analysis raw'!$A$6:$A$104,'QB_Funds Analysis raw'!$B$6:$AC$104))),0,(_xlfn.XLOOKUP(S$5,'QB_Funds Analysis raw'!$B$5:$AC$5, _xlfn.XLOOKUP($A75,'QB_Funds Analysis raw'!$A$6:$A$104,'QB_Funds Analysis raw'!$B$6:$AC$104))))</f>
        <v>0</v>
      </c>
      <c r="T75" s="142" cm="1">
        <f t="array" ref="T75">IF(ISERROR(_xlfn.XLOOKUP(T$5,'QB_Funds Analysis raw'!$B$5:$AC$5, _xlfn.XLOOKUP($A75,'QB_Funds Analysis raw'!$A$6:$A$104,'QB_Funds Analysis raw'!$B$6:$AC$104))),0,(_xlfn.XLOOKUP(T$5,'QB_Funds Analysis raw'!$B$5:$AC$5, _xlfn.XLOOKUP($A75,'QB_Funds Analysis raw'!$A$6:$A$104,'QB_Funds Analysis raw'!$B$6:$AC$104))))</f>
        <v>0</v>
      </c>
      <c r="U75" s="142" cm="1">
        <f t="array" ref="U75">IF(ISERROR(_xlfn.XLOOKUP(U$5,'QB_Funds Analysis raw'!$B$5:$AC$5, _xlfn.XLOOKUP($A75,'QB_Funds Analysis raw'!$A$6:$A$104,'QB_Funds Analysis raw'!$B$6:$AC$104))),0,(_xlfn.XLOOKUP(U$5,'QB_Funds Analysis raw'!$B$5:$AC$5, _xlfn.XLOOKUP($A75,'QB_Funds Analysis raw'!$A$6:$A$104,'QB_Funds Analysis raw'!$B$6:$AC$104))))</f>
        <v>0</v>
      </c>
      <c r="V75" s="142" cm="1">
        <f t="array" ref="V75">IF(ISERROR(_xlfn.XLOOKUP(V$5,'QB_Funds Analysis raw'!$B$5:$AC$5, _xlfn.XLOOKUP($A75,'QB_Funds Analysis raw'!$A$6:$A$104,'QB_Funds Analysis raw'!$B$6:$AC$104))),0,(_xlfn.XLOOKUP(V$5,'QB_Funds Analysis raw'!$B$5:$AC$5, _xlfn.XLOOKUP($A75,'QB_Funds Analysis raw'!$A$6:$A$104,'QB_Funds Analysis raw'!$B$6:$AC$104))))</f>
        <v>0</v>
      </c>
      <c r="W75" s="142" cm="1">
        <f t="array" ref="W75">IF(ISERROR(_xlfn.XLOOKUP(W$5,'QB_Funds Analysis raw'!$B$5:$AC$5, _xlfn.XLOOKUP($A75,'QB_Funds Analysis raw'!$A$6:$A$104,'QB_Funds Analysis raw'!$B$6:$AC$104))),0,(_xlfn.XLOOKUP(W$5,'QB_Funds Analysis raw'!$B$5:$AC$5, _xlfn.XLOOKUP($A75,'QB_Funds Analysis raw'!$A$6:$A$104,'QB_Funds Analysis raw'!$B$6:$AC$104))))</f>
        <v>0</v>
      </c>
      <c r="X75" s="142" cm="1">
        <f t="array" ref="X75">IF(ISERROR(_xlfn.XLOOKUP(X$5,'QB_Funds Analysis raw'!$B$5:$AC$5, _xlfn.XLOOKUP($A75,'QB_Funds Analysis raw'!$A$6:$A$104,'QB_Funds Analysis raw'!$B$6:$AC$104))),0,(_xlfn.XLOOKUP(X$5,'QB_Funds Analysis raw'!$B$5:$AC$5, _xlfn.XLOOKUP($A75,'QB_Funds Analysis raw'!$A$6:$A$104,'QB_Funds Analysis raw'!$B$6:$AC$104))))</f>
        <v>0</v>
      </c>
      <c r="Y75" s="142" cm="1">
        <f t="array" ref="Y75">IF(ISERROR(_xlfn.XLOOKUP(Y$5,'QB_Funds Analysis raw'!$B$5:$AC$5, _xlfn.XLOOKUP($A75,'QB_Funds Analysis raw'!$A$6:$A$104,'QB_Funds Analysis raw'!$B$6:$AC$104))),0,(_xlfn.XLOOKUP(Y$5,'QB_Funds Analysis raw'!$B$5:$AC$5, _xlfn.XLOOKUP($A75,'QB_Funds Analysis raw'!$A$6:$A$104,'QB_Funds Analysis raw'!$B$6:$AC$104))))</f>
        <v>0</v>
      </c>
      <c r="Z75" s="142" cm="1">
        <f t="array" ref="Z75">IF(ISERROR(_xlfn.XLOOKUP(Z$5,'QB_Funds Analysis raw'!$B$5:$AC$5, _xlfn.XLOOKUP($A75,'QB_Funds Analysis raw'!$A$6:$A$104,'QB_Funds Analysis raw'!$B$6:$AC$104))),0,(_xlfn.XLOOKUP(Z$5,'QB_Funds Analysis raw'!$B$5:$AC$5, _xlfn.XLOOKUP($A75,'QB_Funds Analysis raw'!$A$6:$A$104,'QB_Funds Analysis raw'!$B$6:$AC$104))))</f>
        <v>0</v>
      </c>
      <c r="AA75" s="142" cm="1">
        <f t="array" ref="AA75">IF(ISERROR(_xlfn.XLOOKUP(AA$5,'QB_Funds Analysis raw'!$B$5:$AC$5, _xlfn.XLOOKUP($A75,'QB_Funds Analysis raw'!$A$6:$A$104,'QB_Funds Analysis raw'!$B$6:$AC$104))),0,(_xlfn.XLOOKUP(AA$5,'QB_Funds Analysis raw'!$B$5:$AC$5, _xlfn.XLOOKUP($A75,'QB_Funds Analysis raw'!$A$6:$A$104,'QB_Funds Analysis raw'!$B$6:$AC$104))))</f>
        <v>0</v>
      </c>
      <c r="AB75" s="142" cm="1">
        <f t="array" ref="AB75">IF(ISERROR(_xlfn.XLOOKUP(AB$5,'QB_Funds Analysis raw'!$B$5:$AC$5, _xlfn.XLOOKUP($A75,'QB_Funds Analysis raw'!$A$6:$A$104,'QB_Funds Analysis raw'!$B$6:$AC$104))),0,(_xlfn.XLOOKUP(AB$5,'QB_Funds Analysis raw'!$B$5:$AC$5, _xlfn.XLOOKUP($A75,'QB_Funds Analysis raw'!$A$6:$A$104,'QB_Funds Analysis raw'!$B$6:$AC$104))))</f>
        <v>916.13</v>
      </c>
      <c r="AC75" s="142" cm="1">
        <f t="array" ref="AC75">IF(ISERROR(_xlfn.XLOOKUP(AC$5,'QB_Funds Analysis raw'!$B$5:$AC$5, _xlfn.XLOOKUP($A75,'QB_Funds Analysis raw'!$A$6:$A$104,'QB_Funds Analysis raw'!$B$6:$AC$104))),0,(_xlfn.XLOOKUP(AC$5,'QB_Funds Analysis raw'!$B$5:$AC$5, _xlfn.XLOOKUP($A75,'QB_Funds Analysis raw'!$A$6:$A$104,'QB_Funds Analysis raw'!$B$6:$AC$104))))</f>
        <v>1031.33</v>
      </c>
      <c r="AD75" s="167">
        <f t="shared" si="13"/>
        <v>1031.33</v>
      </c>
      <c r="AE75" s="167">
        <f t="shared" si="22"/>
        <v>0</v>
      </c>
    </row>
    <row r="76" spans="1:31" ht="20.25" customHeight="1" x14ac:dyDescent="0.25">
      <c r="A76" s="2" t="s">
        <v>75</v>
      </c>
      <c r="B76" s="142" cm="1">
        <f t="array" ref="B76">IF(ISERROR(_xlfn.XLOOKUP(B$5,'QB_Funds Analysis raw'!$B$5:$AC$5, _xlfn.XLOOKUP($A76,'QB_Funds Analysis raw'!$A$6:$A$104,'QB_Funds Analysis raw'!$B$6:$AC$104))),0,(_xlfn.XLOOKUP(B$5,'QB_Funds Analysis raw'!$B$5:$AC$5, _xlfn.XLOOKUP($A76,'QB_Funds Analysis raw'!$A$6:$A$104,'QB_Funds Analysis raw'!$B$6:$AC$104))))</f>
        <v>0</v>
      </c>
      <c r="C76" s="142" cm="1">
        <f t="array" ref="C76">IF(ISERROR(_xlfn.XLOOKUP(C$5,'QB_Funds Analysis raw'!$B$5:$AC$5, _xlfn.XLOOKUP($A76,'QB_Funds Analysis raw'!$A$6:$A$104,'QB_Funds Analysis raw'!$B$6:$AC$104))),0,(_xlfn.XLOOKUP(C$5,'QB_Funds Analysis raw'!$B$5:$AC$5, _xlfn.XLOOKUP($A76,'QB_Funds Analysis raw'!$A$6:$A$104,'QB_Funds Analysis raw'!$B$6:$AC$104))))</f>
        <v>0</v>
      </c>
      <c r="D76" s="252" cm="1">
        <f t="array" ref="D76">IF(ISERROR(_xlfn.XLOOKUP(D$5,'QB_Funds Analysis raw'!$B$5:$AC$5, _xlfn.XLOOKUP($A76,'QB_Funds Analysis raw'!$A$6:$A$104,'QB_Funds Analysis raw'!$B$6:$AC$104))),0,(_xlfn.XLOOKUP(D$5,'QB_Funds Analysis raw'!$B$5:$AC$5, _xlfn.XLOOKUP($A76,'QB_Funds Analysis raw'!$A$6:$A$104,'QB_Funds Analysis raw'!$B$6:$AC$104))))</f>
        <v>0</v>
      </c>
      <c r="E76" s="142" cm="1">
        <f t="array" ref="E76">IF(ISERROR(_xlfn.XLOOKUP(E$5,'QB_Funds Analysis raw'!$B$5:$AC$5, _xlfn.XLOOKUP($A76,'QB_Funds Analysis raw'!$A$6:$A$104,'QB_Funds Analysis raw'!$B$6:$AC$104))),0,(_xlfn.XLOOKUP(E$5,'QB_Funds Analysis raw'!$B$5:$AC$5, _xlfn.XLOOKUP($A76,'QB_Funds Analysis raw'!$A$6:$A$104,'QB_Funds Analysis raw'!$B$6:$AC$104))))</f>
        <v>0</v>
      </c>
      <c r="F76" s="142" cm="1">
        <f t="array" ref="F76">IF(ISERROR(_xlfn.XLOOKUP(F$5,'QB_Funds Analysis raw'!$B$5:$AC$5, _xlfn.XLOOKUP($A76,'QB_Funds Analysis raw'!$A$6:$A$104,'QB_Funds Analysis raw'!$B$6:$AC$104))),0,(_xlfn.XLOOKUP(F$5,'QB_Funds Analysis raw'!$B$5:$AC$5, _xlfn.XLOOKUP($A76,'QB_Funds Analysis raw'!$A$6:$A$104,'QB_Funds Analysis raw'!$B$6:$AC$104))))</f>
        <v>0</v>
      </c>
      <c r="G76" s="142" cm="1">
        <f t="array" ref="G76">IF(ISERROR(_xlfn.XLOOKUP(G$5,'QB_Funds Analysis raw'!$B$5:$AC$5, _xlfn.XLOOKUP($A76,'QB_Funds Analysis raw'!$A$6:$A$104,'QB_Funds Analysis raw'!$B$6:$AC$104))),0,(_xlfn.XLOOKUP(G$5,'QB_Funds Analysis raw'!$B$5:$AC$5, _xlfn.XLOOKUP($A76,'QB_Funds Analysis raw'!$A$6:$A$104,'QB_Funds Analysis raw'!$B$6:$AC$104))))</f>
        <v>0</v>
      </c>
      <c r="H76" s="142" cm="1">
        <f t="array" ref="H76">IF(ISERROR(_xlfn.XLOOKUP(H$5,'QB_Funds Analysis raw'!$B$5:$AC$5, _xlfn.XLOOKUP($A76,'QB_Funds Analysis raw'!$A$6:$A$104,'QB_Funds Analysis raw'!$B$6:$AC$104))),0,(_xlfn.XLOOKUP(H$5,'QB_Funds Analysis raw'!$B$5:$AC$5, _xlfn.XLOOKUP($A76,'QB_Funds Analysis raw'!$A$6:$A$104,'QB_Funds Analysis raw'!$B$6:$AC$104))))</f>
        <v>0</v>
      </c>
      <c r="I76" s="142" cm="1">
        <f t="array" ref="I76">IF(ISERROR(_xlfn.XLOOKUP(I$5,'QB_Funds Analysis raw'!$B$5:$AC$5, _xlfn.XLOOKUP($A76,'QB_Funds Analysis raw'!$A$6:$A$104,'QB_Funds Analysis raw'!$B$6:$AC$104))),0,(_xlfn.XLOOKUP(I$5,'QB_Funds Analysis raw'!$B$5:$AC$5, _xlfn.XLOOKUP($A76,'QB_Funds Analysis raw'!$A$6:$A$104,'QB_Funds Analysis raw'!$B$6:$AC$104))))</f>
        <v>0</v>
      </c>
      <c r="J76" s="142" cm="1">
        <f t="array" ref="J76">IF(ISERROR(_xlfn.XLOOKUP(J$5,'QB_Funds Analysis raw'!$B$5:$AC$5, _xlfn.XLOOKUP($A76,'QB_Funds Analysis raw'!$A$6:$A$104,'QB_Funds Analysis raw'!$B$6:$AC$104))),0,(_xlfn.XLOOKUP(J$5,'QB_Funds Analysis raw'!$B$5:$AC$5, _xlfn.XLOOKUP($A76,'QB_Funds Analysis raw'!$A$6:$A$104,'QB_Funds Analysis raw'!$B$6:$AC$104))))</f>
        <v>0</v>
      </c>
      <c r="K76" s="252" cm="1">
        <f t="array" ref="K76">IF(ISERROR(_xlfn.XLOOKUP(K$5,'QB_Funds Analysis raw'!$B$5:$AC$5, _xlfn.XLOOKUP($A76,'QB_Funds Analysis raw'!$A$6:$A$104,'QB_Funds Analysis raw'!$B$6:$AC$104))),0,(_xlfn.XLOOKUP(K$5,'QB_Funds Analysis raw'!$B$5:$AC$5, _xlfn.XLOOKUP($A76,'QB_Funds Analysis raw'!$A$6:$A$104,'QB_Funds Analysis raw'!$B$6:$AC$104))))</f>
        <v>0</v>
      </c>
      <c r="L76" s="142" cm="1">
        <f t="array" ref="L76">IF(ISERROR(_xlfn.XLOOKUP(L$5,'QB_Funds Analysis raw'!$B$5:$AC$5, _xlfn.XLOOKUP($A76,'QB_Funds Analysis raw'!$A$6:$A$104,'QB_Funds Analysis raw'!$B$6:$AC$104))),0,(_xlfn.XLOOKUP(L$5,'QB_Funds Analysis raw'!$B$5:$AC$5, _xlfn.XLOOKUP($A76,'QB_Funds Analysis raw'!$A$6:$A$104,'QB_Funds Analysis raw'!$B$6:$AC$104))))</f>
        <v>0</v>
      </c>
      <c r="M76" s="142" cm="1">
        <f t="array" ref="M76">IF(ISERROR(_xlfn.XLOOKUP(M$5,'QB_Funds Analysis raw'!$B$5:$AC$5, _xlfn.XLOOKUP($A76,'QB_Funds Analysis raw'!$A$6:$A$104,'QB_Funds Analysis raw'!$B$6:$AC$104))),0,(_xlfn.XLOOKUP(M$5,'QB_Funds Analysis raw'!$B$5:$AC$5, _xlfn.XLOOKUP($A76,'QB_Funds Analysis raw'!$A$6:$A$104,'QB_Funds Analysis raw'!$B$6:$AC$104))))</f>
        <v>0</v>
      </c>
      <c r="N76" s="252" cm="1">
        <f t="array" ref="N76">IF(ISERROR(_xlfn.XLOOKUP(N$5,'QB_Funds Analysis raw'!$B$5:$AC$5, _xlfn.XLOOKUP($A76,'QB_Funds Analysis raw'!$A$6:$A$104,'QB_Funds Analysis raw'!$B$6:$AC$104))),0,(_xlfn.XLOOKUP(N$5,'QB_Funds Analysis raw'!$B$5:$AC$5, _xlfn.XLOOKUP($A76,'QB_Funds Analysis raw'!$A$6:$A$104,'QB_Funds Analysis raw'!$B$6:$AC$104))))</f>
        <v>0</v>
      </c>
      <c r="O76" s="252" cm="1">
        <f t="array" ref="O76">IF(ISERROR(_xlfn.XLOOKUP(O$5,'QB_Funds Analysis raw'!$B$5:$AC$5, _xlfn.XLOOKUP($A76,'QB_Funds Analysis raw'!$A$6:$A$104,'QB_Funds Analysis raw'!$B$6:$AC$104))),0,(_xlfn.XLOOKUP(O$5,'QB_Funds Analysis raw'!$B$5:$AC$5, _xlfn.XLOOKUP($A76,'QB_Funds Analysis raw'!$A$6:$A$104,'QB_Funds Analysis raw'!$B$6:$AC$104))))</f>
        <v>0</v>
      </c>
      <c r="P76" s="142" cm="1">
        <f t="array" ref="P76">IF(ISERROR(_xlfn.XLOOKUP(P$5,'QB_Funds Analysis raw'!$B$5:$AC$5, _xlfn.XLOOKUP($A76,'QB_Funds Analysis raw'!$A$6:$A$104,'QB_Funds Analysis raw'!$B$6:$AC$104))),0,(_xlfn.XLOOKUP(P$5,'QB_Funds Analysis raw'!$B$5:$AC$5, _xlfn.XLOOKUP($A76,'QB_Funds Analysis raw'!$A$6:$A$104,'QB_Funds Analysis raw'!$B$6:$AC$104))))</f>
        <v>0</v>
      </c>
      <c r="Q76" s="247" cm="1">
        <f t="array" ref="Q76">IF(ISERROR(_xlfn.XLOOKUP(Q$5,'QB_Funds Analysis raw'!$B$5:$AC$5, _xlfn.XLOOKUP($A76,'QB_Funds Analysis raw'!$A$6:$A$104,'QB_Funds Analysis raw'!$B$6:$AC$104))),0,(_xlfn.XLOOKUP(Q$5,'QB_Funds Analysis raw'!$B$5:$AC$5, _xlfn.XLOOKUP($A76,'QB_Funds Analysis raw'!$A$6:$A$104,'QB_Funds Analysis raw'!$B$6:$AC$104))))</f>
        <v>0</v>
      </c>
      <c r="R76" s="142" cm="1">
        <f t="array" ref="R76">IF(ISERROR(_xlfn.XLOOKUP(R$5,'QB_Funds Analysis raw'!$B$5:$AC$5, _xlfn.XLOOKUP($A76,'QB_Funds Analysis raw'!$A$6:$A$104,'QB_Funds Analysis raw'!$B$6:$AC$104))),0,(_xlfn.XLOOKUP(R$5,'QB_Funds Analysis raw'!$B$5:$AC$5, _xlfn.XLOOKUP($A76,'QB_Funds Analysis raw'!$A$6:$A$104,'QB_Funds Analysis raw'!$B$6:$AC$104))))</f>
        <v>0</v>
      </c>
      <c r="S76" s="142" cm="1">
        <f t="array" ref="S76">IF(ISERROR(_xlfn.XLOOKUP(S$5,'QB_Funds Analysis raw'!$B$5:$AC$5, _xlfn.XLOOKUP($A76,'QB_Funds Analysis raw'!$A$6:$A$104,'QB_Funds Analysis raw'!$B$6:$AC$104))),0,(_xlfn.XLOOKUP(S$5,'QB_Funds Analysis raw'!$B$5:$AC$5, _xlfn.XLOOKUP($A76,'QB_Funds Analysis raw'!$A$6:$A$104,'QB_Funds Analysis raw'!$B$6:$AC$104))))</f>
        <v>0</v>
      </c>
      <c r="T76" s="142" cm="1">
        <f t="array" ref="T76">IF(ISERROR(_xlfn.XLOOKUP(T$5,'QB_Funds Analysis raw'!$B$5:$AC$5, _xlfn.XLOOKUP($A76,'QB_Funds Analysis raw'!$A$6:$A$104,'QB_Funds Analysis raw'!$B$6:$AC$104))),0,(_xlfn.XLOOKUP(T$5,'QB_Funds Analysis raw'!$B$5:$AC$5, _xlfn.XLOOKUP($A76,'QB_Funds Analysis raw'!$A$6:$A$104,'QB_Funds Analysis raw'!$B$6:$AC$104))))</f>
        <v>0</v>
      </c>
      <c r="U76" s="142" cm="1">
        <f t="array" ref="U76">IF(ISERROR(_xlfn.XLOOKUP(U$5,'QB_Funds Analysis raw'!$B$5:$AC$5, _xlfn.XLOOKUP($A76,'QB_Funds Analysis raw'!$A$6:$A$104,'QB_Funds Analysis raw'!$B$6:$AC$104))),0,(_xlfn.XLOOKUP(U$5,'QB_Funds Analysis raw'!$B$5:$AC$5, _xlfn.XLOOKUP($A76,'QB_Funds Analysis raw'!$A$6:$A$104,'QB_Funds Analysis raw'!$B$6:$AC$104))))</f>
        <v>0</v>
      </c>
      <c r="V76" s="142" cm="1">
        <f t="array" ref="V76">IF(ISERROR(_xlfn.XLOOKUP(V$5,'QB_Funds Analysis raw'!$B$5:$AC$5, _xlfn.XLOOKUP($A76,'QB_Funds Analysis raw'!$A$6:$A$104,'QB_Funds Analysis raw'!$B$6:$AC$104))),0,(_xlfn.XLOOKUP(V$5,'QB_Funds Analysis raw'!$B$5:$AC$5, _xlfn.XLOOKUP($A76,'QB_Funds Analysis raw'!$A$6:$A$104,'QB_Funds Analysis raw'!$B$6:$AC$104))))</f>
        <v>0</v>
      </c>
      <c r="W76" s="142" cm="1">
        <f t="array" ref="W76">IF(ISERROR(_xlfn.XLOOKUP(W$5,'QB_Funds Analysis raw'!$B$5:$AC$5, _xlfn.XLOOKUP($A76,'QB_Funds Analysis raw'!$A$6:$A$104,'QB_Funds Analysis raw'!$B$6:$AC$104))),0,(_xlfn.XLOOKUP(W$5,'QB_Funds Analysis raw'!$B$5:$AC$5, _xlfn.XLOOKUP($A76,'QB_Funds Analysis raw'!$A$6:$A$104,'QB_Funds Analysis raw'!$B$6:$AC$104))))</f>
        <v>0</v>
      </c>
      <c r="X76" s="142" cm="1">
        <f t="array" ref="X76">IF(ISERROR(_xlfn.XLOOKUP(X$5,'QB_Funds Analysis raw'!$B$5:$AC$5, _xlfn.XLOOKUP($A76,'QB_Funds Analysis raw'!$A$6:$A$104,'QB_Funds Analysis raw'!$B$6:$AC$104))),0,(_xlfn.XLOOKUP(X$5,'QB_Funds Analysis raw'!$B$5:$AC$5, _xlfn.XLOOKUP($A76,'QB_Funds Analysis raw'!$A$6:$A$104,'QB_Funds Analysis raw'!$B$6:$AC$104))))</f>
        <v>0</v>
      </c>
      <c r="Y76" s="142" cm="1">
        <f t="array" ref="Y76">IF(ISERROR(_xlfn.XLOOKUP(Y$5,'QB_Funds Analysis raw'!$B$5:$AC$5, _xlfn.XLOOKUP($A76,'QB_Funds Analysis raw'!$A$6:$A$104,'QB_Funds Analysis raw'!$B$6:$AC$104))),0,(_xlfn.XLOOKUP(Y$5,'QB_Funds Analysis raw'!$B$5:$AC$5, _xlfn.XLOOKUP($A76,'QB_Funds Analysis raw'!$A$6:$A$104,'QB_Funds Analysis raw'!$B$6:$AC$104))))</f>
        <v>0</v>
      </c>
      <c r="Z76" s="142" cm="1">
        <f t="array" ref="Z76">IF(ISERROR(_xlfn.XLOOKUP(Z$5,'QB_Funds Analysis raw'!$B$5:$AC$5, _xlfn.XLOOKUP($A76,'QB_Funds Analysis raw'!$A$6:$A$104,'QB_Funds Analysis raw'!$B$6:$AC$104))),0,(_xlfn.XLOOKUP(Z$5,'QB_Funds Analysis raw'!$B$5:$AC$5, _xlfn.XLOOKUP($A76,'QB_Funds Analysis raw'!$A$6:$A$104,'QB_Funds Analysis raw'!$B$6:$AC$104))))</f>
        <v>0</v>
      </c>
      <c r="AA76" s="142" cm="1">
        <f t="array" ref="AA76">IF(ISERROR(_xlfn.XLOOKUP(AA$5,'QB_Funds Analysis raw'!$B$5:$AC$5, _xlfn.XLOOKUP($A76,'QB_Funds Analysis raw'!$A$6:$A$104,'QB_Funds Analysis raw'!$B$6:$AC$104))),0,(_xlfn.XLOOKUP(AA$5,'QB_Funds Analysis raw'!$B$5:$AC$5, _xlfn.XLOOKUP($A76,'QB_Funds Analysis raw'!$A$6:$A$104,'QB_Funds Analysis raw'!$B$6:$AC$104))))</f>
        <v>0</v>
      </c>
      <c r="AB76" s="142" cm="1">
        <f t="array" ref="AB76">IF(ISERROR(_xlfn.XLOOKUP(AB$5,'QB_Funds Analysis raw'!$B$5:$AC$5, _xlfn.XLOOKUP($A76,'QB_Funds Analysis raw'!$A$6:$A$104,'QB_Funds Analysis raw'!$B$6:$AC$104))),0,(_xlfn.XLOOKUP(AB$5,'QB_Funds Analysis raw'!$B$5:$AC$5, _xlfn.XLOOKUP($A76,'QB_Funds Analysis raw'!$A$6:$A$104,'QB_Funds Analysis raw'!$B$6:$AC$104))))</f>
        <v>697.49</v>
      </c>
      <c r="AC76" s="142" cm="1">
        <f t="array" ref="AC76">IF(ISERROR(_xlfn.XLOOKUP(AC$5,'QB_Funds Analysis raw'!$B$5:$AC$5, _xlfn.XLOOKUP($A76,'QB_Funds Analysis raw'!$A$6:$A$104,'QB_Funds Analysis raw'!$B$6:$AC$104))),0,(_xlfn.XLOOKUP(AC$5,'QB_Funds Analysis raw'!$B$5:$AC$5, _xlfn.XLOOKUP($A76,'QB_Funds Analysis raw'!$A$6:$A$104,'QB_Funds Analysis raw'!$B$6:$AC$104))))</f>
        <v>697.49</v>
      </c>
      <c r="AD76" s="167">
        <f t="shared" si="13"/>
        <v>697.49</v>
      </c>
      <c r="AE76" s="167">
        <f t="shared" si="22"/>
        <v>0</v>
      </c>
    </row>
    <row r="77" spans="1:31" ht="20.25" customHeight="1" x14ac:dyDescent="0.25">
      <c r="A77" s="2" t="s">
        <v>76</v>
      </c>
      <c r="B77" s="142" cm="1">
        <f t="array" ref="B77">IF(ISERROR(_xlfn.XLOOKUP(B$5,'QB_Funds Analysis raw'!$B$5:$AC$5, _xlfn.XLOOKUP($A77,'QB_Funds Analysis raw'!$A$6:$A$104,'QB_Funds Analysis raw'!$B$6:$AC$104))),0,(_xlfn.XLOOKUP(B$5,'QB_Funds Analysis raw'!$B$5:$AC$5, _xlfn.XLOOKUP($A77,'QB_Funds Analysis raw'!$A$6:$A$104,'QB_Funds Analysis raw'!$B$6:$AC$104))))</f>
        <v>0</v>
      </c>
      <c r="C77" s="142" cm="1">
        <f t="array" ref="C77">IF(ISERROR(_xlfn.XLOOKUP(C$5,'QB_Funds Analysis raw'!$B$5:$AC$5, _xlfn.XLOOKUP($A77,'QB_Funds Analysis raw'!$A$6:$A$104,'QB_Funds Analysis raw'!$B$6:$AC$104))),0,(_xlfn.XLOOKUP(C$5,'QB_Funds Analysis raw'!$B$5:$AC$5, _xlfn.XLOOKUP($A77,'QB_Funds Analysis raw'!$A$6:$A$104,'QB_Funds Analysis raw'!$B$6:$AC$104))))</f>
        <v>0</v>
      </c>
      <c r="D77" s="252" cm="1">
        <f t="array" ref="D77">IF(ISERROR(_xlfn.XLOOKUP(D$5,'QB_Funds Analysis raw'!$B$5:$AC$5, _xlfn.XLOOKUP($A77,'QB_Funds Analysis raw'!$A$6:$A$104,'QB_Funds Analysis raw'!$B$6:$AC$104))),0,(_xlfn.XLOOKUP(D$5,'QB_Funds Analysis raw'!$B$5:$AC$5, _xlfn.XLOOKUP($A77,'QB_Funds Analysis raw'!$A$6:$A$104,'QB_Funds Analysis raw'!$B$6:$AC$104))))</f>
        <v>0</v>
      </c>
      <c r="E77" s="142" cm="1">
        <f t="array" ref="E77">IF(ISERROR(_xlfn.XLOOKUP(E$5,'QB_Funds Analysis raw'!$B$5:$AC$5, _xlfn.XLOOKUP($A77,'QB_Funds Analysis raw'!$A$6:$A$104,'QB_Funds Analysis raw'!$B$6:$AC$104))),0,(_xlfn.XLOOKUP(E$5,'QB_Funds Analysis raw'!$B$5:$AC$5, _xlfn.XLOOKUP($A77,'QB_Funds Analysis raw'!$A$6:$A$104,'QB_Funds Analysis raw'!$B$6:$AC$104))))</f>
        <v>0</v>
      </c>
      <c r="F77" s="142" cm="1">
        <f t="array" ref="F77">IF(ISERROR(_xlfn.XLOOKUP(F$5,'QB_Funds Analysis raw'!$B$5:$AC$5, _xlfn.XLOOKUP($A77,'QB_Funds Analysis raw'!$A$6:$A$104,'QB_Funds Analysis raw'!$B$6:$AC$104))),0,(_xlfn.XLOOKUP(F$5,'QB_Funds Analysis raw'!$B$5:$AC$5, _xlfn.XLOOKUP($A77,'QB_Funds Analysis raw'!$A$6:$A$104,'QB_Funds Analysis raw'!$B$6:$AC$104))))</f>
        <v>0</v>
      </c>
      <c r="G77" s="142" cm="1">
        <f t="array" ref="G77">IF(ISERROR(_xlfn.XLOOKUP(G$5,'QB_Funds Analysis raw'!$B$5:$AC$5, _xlfn.XLOOKUP($A77,'QB_Funds Analysis raw'!$A$6:$A$104,'QB_Funds Analysis raw'!$B$6:$AC$104))),0,(_xlfn.XLOOKUP(G$5,'QB_Funds Analysis raw'!$B$5:$AC$5, _xlfn.XLOOKUP($A77,'QB_Funds Analysis raw'!$A$6:$A$104,'QB_Funds Analysis raw'!$B$6:$AC$104))))</f>
        <v>0</v>
      </c>
      <c r="H77" s="142" cm="1">
        <f t="array" ref="H77">IF(ISERROR(_xlfn.XLOOKUP(H$5,'QB_Funds Analysis raw'!$B$5:$AC$5, _xlfn.XLOOKUP($A77,'QB_Funds Analysis raw'!$A$6:$A$104,'QB_Funds Analysis raw'!$B$6:$AC$104))),0,(_xlfn.XLOOKUP(H$5,'QB_Funds Analysis raw'!$B$5:$AC$5, _xlfn.XLOOKUP($A77,'QB_Funds Analysis raw'!$A$6:$A$104,'QB_Funds Analysis raw'!$B$6:$AC$104))))</f>
        <v>0</v>
      </c>
      <c r="I77" s="142" cm="1">
        <f t="array" ref="I77">IF(ISERROR(_xlfn.XLOOKUP(I$5,'QB_Funds Analysis raw'!$B$5:$AC$5, _xlfn.XLOOKUP($A77,'QB_Funds Analysis raw'!$A$6:$A$104,'QB_Funds Analysis raw'!$B$6:$AC$104))),0,(_xlfn.XLOOKUP(I$5,'QB_Funds Analysis raw'!$B$5:$AC$5, _xlfn.XLOOKUP($A77,'QB_Funds Analysis raw'!$A$6:$A$104,'QB_Funds Analysis raw'!$B$6:$AC$104))))</f>
        <v>0</v>
      </c>
      <c r="J77" s="142" cm="1">
        <f t="array" ref="J77">IF(ISERROR(_xlfn.XLOOKUP(J$5,'QB_Funds Analysis raw'!$B$5:$AC$5, _xlfn.XLOOKUP($A77,'QB_Funds Analysis raw'!$A$6:$A$104,'QB_Funds Analysis raw'!$B$6:$AC$104))),0,(_xlfn.XLOOKUP(J$5,'QB_Funds Analysis raw'!$B$5:$AC$5, _xlfn.XLOOKUP($A77,'QB_Funds Analysis raw'!$A$6:$A$104,'QB_Funds Analysis raw'!$B$6:$AC$104))))</f>
        <v>0</v>
      </c>
      <c r="K77" s="252" cm="1">
        <f t="array" ref="K77">IF(ISERROR(_xlfn.XLOOKUP(K$5,'QB_Funds Analysis raw'!$B$5:$AC$5, _xlfn.XLOOKUP($A77,'QB_Funds Analysis raw'!$A$6:$A$104,'QB_Funds Analysis raw'!$B$6:$AC$104))),0,(_xlfn.XLOOKUP(K$5,'QB_Funds Analysis raw'!$B$5:$AC$5, _xlfn.XLOOKUP($A77,'QB_Funds Analysis raw'!$A$6:$A$104,'QB_Funds Analysis raw'!$B$6:$AC$104))))</f>
        <v>0</v>
      </c>
      <c r="L77" s="142" cm="1">
        <f t="array" ref="L77">IF(ISERROR(_xlfn.XLOOKUP(L$5,'QB_Funds Analysis raw'!$B$5:$AC$5, _xlfn.XLOOKUP($A77,'QB_Funds Analysis raw'!$A$6:$A$104,'QB_Funds Analysis raw'!$B$6:$AC$104))),0,(_xlfn.XLOOKUP(L$5,'QB_Funds Analysis raw'!$B$5:$AC$5, _xlfn.XLOOKUP($A77,'QB_Funds Analysis raw'!$A$6:$A$104,'QB_Funds Analysis raw'!$B$6:$AC$104))))</f>
        <v>0</v>
      </c>
      <c r="M77" s="142" cm="1">
        <f t="array" ref="M77">IF(ISERROR(_xlfn.XLOOKUP(M$5,'QB_Funds Analysis raw'!$B$5:$AC$5, _xlfn.XLOOKUP($A77,'QB_Funds Analysis raw'!$A$6:$A$104,'QB_Funds Analysis raw'!$B$6:$AC$104))),0,(_xlfn.XLOOKUP(M$5,'QB_Funds Analysis raw'!$B$5:$AC$5, _xlfn.XLOOKUP($A77,'QB_Funds Analysis raw'!$A$6:$A$104,'QB_Funds Analysis raw'!$B$6:$AC$104))))</f>
        <v>0</v>
      </c>
      <c r="N77" s="252" cm="1">
        <f t="array" ref="N77">IF(ISERROR(_xlfn.XLOOKUP(N$5,'QB_Funds Analysis raw'!$B$5:$AC$5, _xlfn.XLOOKUP($A77,'QB_Funds Analysis raw'!$A$6:$A$104,'QB_Funds Analysis raw'!$B$6:$AC$104))),0,(_xlfn.XLOOKUP(N$5,'QB_Funds Analysis raw'!$B$5:$AC$5, _xlfn.XLOOKUP($A77,'QB_Funds Analysis raw'!$A$6:$A$104,'QB_Funds Analysis raw'!$B$6:$AC$104))))</f>
        <v>0</v>
      </c>
      <c r="O77" s="252" cm="1">
        <f t="array" ref="O77">IF(ISERROR(_xlfn.XLOOKUP(O$5,'QB_Funds Analysis raw'!$B$5:$AC$5, _xlfn.XLOOKUP($A77,'QB_Funds Analysis raw'!$A$6:$A$104,'QB_Funds Analysis raw'!$B$6:$AC$104))),0,(_xlfn.XLOOKUP(O$5,'QB_Funds Analysis raw'!$B$5:$AC$5, _xlfn.XLOOKUP($A77,'QB_Funds Analysis raw'!$A$6:$A$104,'QB_Funds Analysis raw'!$B$6:$AC$104))))</f>
        <v>0</v>
      </c>
      <c r="P77" s="142" cm="1">
        <f t="array" ref="P77">IF(ISERROR(_xlfn.XLOOKUP(P$5,'QB_Funds Analysis raw'!$B$5:$AC$5, _xlfn.XLOOKUP($A77,'QB_Funds Analysis raw'!$A$6:$A$104,'QB_Funds Analysis raw'!$B$6:$AC$104))),0,(_xlfn.XLOOKUP(P$5,'QB_Funds Analysis raw'!$B$5:$AC$5, _xlfn.XLOOKUP($A77,'QB_Funds Analysis raw'!$A$6:$A$104,'QB_Funds Analysis raw'!$B$6:$AC$104))))</f>
        <v>0</v>
      </c>
      <c r="Q77" s="247" cm="1">
        <f t="array" ref="Q77">IF(ISERROR(_xlfn.XLOOKUP(Q$5,'QB_Funds Analysis raw'!$B$5:$AC$5, _xlfn.XLOOKUP($A77,'QB_Funds Analysis raw'!$A$6:$A$104,'QB_Funds Analysis raw'!$B$6:$AC$104))),0,(_xlfn.XLOOKUP(Q$5,'QB_Funds Analysis raw'!$B$5:$AC$5, _xlfn.XLOOKUP($A77,'QB_Funds Analysis raw'!$A$6:$A$104,'QB_Funds Analysis raw'!$B$6:$AC$104))))</f>
        <v>0</v>
      </c>
      <c r="R77" s="142" cm="1">
        <f t="array" ref="R77">IF(ISERROR(_xlfn.XLOOKUP(R$5,'QB_Funds Analysis raw'!$B$5:$AC$5, _xlfn.XLOOKUP($A77,'QB_Funds Analysis raw'!$A$6:$A$104,'QB_Funds Analysis raw'!$B$6:$AC$104))),0,(_xlfn.XLOOKUP(R$5,'QB_Funds Analysis raw'!$B$5:$AC$5, _xlfn.XLOOKUP($A77,'QB_Funds Analysis raw'!$A$6:$A$104,'QB_Funds Analysis raw'!$B$6:$AC$104))))</f>
        <v>0</v>
      </c>
      <c r="S77" s="142" cm="1">
        <f t="array" ref="S77">IF(ISERROR(_xlfn.XLOOKUP(S$5,'QB_Funds Analysis raw'!$B$5:$AC$5, _xlfn.XLOOKUP($A77,'QB_Funds Analysis raw'!$A$6:$A$104,'QB_Funds Analysis raw'!$B$6:$AC$104))),0,(_xlfn.XLOOKUP(S$5,'QB_Funds Analysis raw'!$B$5:$AC$5, _xlfn.XLOOKUP($A77,'QB_Funds Analysis raw'!$A$6:$A$104,'QB_Funds Analysis raw'!$B$6:$AC$104))))</f>
        <v>0</v>
      </c>
      <c r="T77" s="142" cm="1">
        <f t="array" ref="T77">IF(ISERROR(_xlfn.XLOOKUP(T$5,'QB_Funds Analysis raw'!$B$5:$AC$5, _xlfn.XLOOKUP($A77,'QB_Funds Analysis raw'!$A$6:$A$104,'QB_Funds Analysis raw'!$B$6:$AC$104))),0,(_xlfn.XLOOKUP(T$5,'QB_Funds Analysis raw'!$B$5:$AC$5, _xlfn.XLOOKUP($A77,'QB_Funds Analysis raw'!$A$6:$A$104,'QB_Funds Analysis raw'!$B$6:$AC$104))))</f>
        <v>0</v>
      </c>
      <c r="U77" s="142" cm="1">
        <f t="array" ref="U77">IF(ISERROR(_xlfn.XLOOKUP(U$5,'QB_Funds Analysis raw'!$B$5:$AC$5, _xlfn.XLOOKUP($A77,'QB_Funds Analysis raw'!$A$6:$A$104,'QB_Funds Analysis raw'!$B$6:$AC$104))),0,(_xlfn.XLOOKUP(U$5,'QB_Funds Analysis raw'!$B$5:$AC$5, _xlfn.XLOOKUP($A77,'QB_Funds Analysis raw'!$A$6:$A$104,'QB_Funds Analysis raw'!$B$6:$AC$104))))</f>
        <v>0</v>
      </c>
      <c r="V77" s="142" cm="1">
        <f t="array" ref="V77">IF(ISERROR(_xlfn.XLOOKUP(V$5,'QB_Funds Analysis raw'!$B$5:$AC$5, _xlfn.XLOOKUP($A77,'QB_Funds Analysis raw'!$A$6:$A$104,'QB_Funds Analysis raw'!$B$6:$AC$104))),0,(_xlfn.XLOOKUP(V$5,'QB_Funds Analysis raw'!$B$5:$AC$5, _xlfn.XLOOKUP($A77,'QB_Funds Analysis raw'!$A$6:$A$104,'QB_Funds Analysis raw'!$B$6:$AC$104))))</f>
        <v>0</v>
      </c>
      <c r="W77" s="142" cm="1">
        <f t="array" ref="W77">IF(ISERROR(_xlfn.XLOOKUP(W$5,'QB_Funds Analysis raw'!$B$5:$AC$5, _xlfn.XLOOKUP($A77,'QB_Funds Analysis raw'!$A$6:$A$104,'QB_Funds Analysis raw'!$B$6:$AC$104))),0,(_xlfn.XLOOKUP(W$5,'QB_Funds Analysis raw'!$B$5:$AC$5, _xlfn.XLOOKUP($A77,'QB_Funds Analysis raw'!$A$6:$A$104,'QB_Funds Analysis raw'!$B$6:$AC$104))))</f>
        <v>0</v>
      </c>
      <c r="X77" s="142" cm="1">
        <f t="array" ref="X77">IF(ISERROR(_xlfn.XLOOKUP(X$5,'QB_Funds Analysis raw'!$B$5:$AC$5, _xlfn.XLOOKUP($A77,'QB_Funds Analysis raw'!$A$6:$A$104,'QB_Funds Analysis raw'!$B$6:$AC$104))),0,(_xlfn.XLOOKUP(X$5,'QB_Funds Analysis raw'!$B$5:$AC$5, _xlfn.XLOOKUP($A77,'QB_Funds Analysis raw'!$A$6:$A$104,'QB_Funds Analysis raw'!$B$6:$AC$104))))</f>
        <v>0</v>
      </c>
      <c r="Y77" s="142" cm="1">
        <f t="array" ref="Y77">IF(ISERROR(_xlfn.XLOOKUP(Y$5,'QB_Funds Analysis raw'!$B$5:$AC$5, _xlfn.XLOOKUP($A77,'QB_Funds Analysis raw'!$A$6:$A$104,'QB_Funds Analysis raw'!$B$6:$AC$104))),0,(_xlfn.XLOOKUP(Y$5,'QB_Funds Analysis raw'!$B$5:$AC$5, _xlfn.XLOOKUP($A77,'QB_Funds Analysis raw'!$A$6:$A$104,'QB_Funds Analysis raw'!$B$6:$AC$104))))</f>
        <v>0</v>
      </c>
      <c r="Z77" s="142" cm="1">
        <f t="array" ref="Z77">IF(ISERROR(_xlfn.XLOOKUP(Z$5,'QB_Funds Analysis raw'!$B$5:$AC$5, _xlfn.XLOOKUP($A77,'QB_Funds Analysis raw'!$A$6:$A$104,'QB_Funds Analysis raw'!$B$6:$AC$104))),0,(_xlfn.XLOOKUP(Z$5,'QB_Funds Analysis raw'!$B$5:$AC$5, _xlfn.XLOOKUP($A77,'QB_Funds Analysis raw'!$A$6:$A$104,'QB_Funds Analysis raw'!$B$6:$AC$104))))</f>
        <v>0</v>
      </c>
      <c r="AA77" s="142" cm="1">
        <f t="array" ref="AA77">IF(ISERROR(_xlfn.XLOOKUP(AA$5,'QB_Funds Analysis raw'!$B$5:$AC$5, _xlfn.XLOOKUP($A77,'QB_Funds Analysis raw'!$A$6:$A$104,'QB_Funds Analysis raw'!$B$6:$AC$104))),0,(_xlfn.XLOOKUP(AA$5,'QB_Funds Analysis raw'!$B$5:$AC$5, _xlfn.XLOOKUP($A77,'QB_Funds Analysis raw'!$A$6:$A$104,'QB_Funds Analysis raw'!$B$6:$AC$104))))</f>
        <v>0</v>
      </c>
      <c r="AB77" s="142" cm="1">
        <f t="array" ref="AB77">IF(ISERROR(_xlfn.XLOOKUP(AB$5,'QB_Funds Analysis raw'!$B$5:$AC$5, _xlfn.XLOOKUP($A77,'QB_Funds Analysis raw'!$A$6:$A$104,'QB_Funds Analysis raw'!$B$6:$AC$104))),0,(_xlfn.XLOOKUP(AB$5,'QB_Funds Analysis raw'!$B$5:$AC$5, _xlfn.XLOOKUP($A77,'QB_Funds Analysis raw'!$A$6:$A$104,'QB_Funds Analysis raw'!$B$6:$AC$104))))</f>
        <v>64.48</v>
      </c>
      <c r="AC77" s="142" cm="1">
        <f t="array" ref="AC77">IF(ISERROR(_xlfn.XLOOKUP(AC$5,'QB_Funds Analysis raw'!$B$5:$AC$5, _xlfn.XLOOKUP($A77,'QB_Funds Analysis raw'!$A$6:$A$104,'QB_Funds Analysis raw'!$B$6:$AC$104))),0,(_xlfn.XLOOKUP(AC$5,'QB_Funds Analysis raw'!$B$5:$AC$5, _xlfn.XLOOKUP($A77,'QB_Funds Analysis raw'!$A$6:$A$104,'QB_Funds Analysis raw'!$B$6:$AC$104))))</f>
        <v>64.48</v>
      </c>
      <c r="AD77" s="167">
        <f t="shared" si="13"/>
        <v>64.48</v>
      </c>
      <c r="AE77" s="167">
        <f t="shared" si="22"/>
        <v>0</v>
      </c>
    </row>
    <row r="78" spans="1:31" ht="20.25" customHeight="1" x14ac:dyDescent="0.25">
      <c r="A78" s="2" t="s">
        <v>77</v>
      </c>
      <c r="B78" s="142" cm="1">
        <f t="array" ref="B78">IF(ISERROR(_xlfn.XLOOKUP(B$5,'QB_Funds Analysis raw'!$B$5:$AC$5, _xlfn.XLOOKUP($A78,'QB_Funds Analysis raw'!$A$6:$A$104,'QB_Funds Analysis raw'!$B$6:$AC$104))),0,(_xlfn.XLOOKUP(B$5,'QB_Funds Analysis raw'!$B$5:$AC$5, _xlfn.XLOOKUP($A78,'QB_Funds Analysis raw'!$A$6:$A$104,'QB_Funds Analysis raw'!$B$6:$AC$104))))</f>
        <v>0</v>
      </c>
      <c r="C78" s="142" cm="1">
        <f t="array" ref="C78">IF(ISERROR(_xlfn.XLOOKUP(C$5,'QB_Funds Analysis raw'!$B$5:$AC$5, _xlfn.XLOOKUP($A78,'QB_Funds Analysis raw'!$A$6:$A$104,'QB_Funds Analysis raw'!$B$6:$AC$104))),0,(_xlfn.XLOOKUP(C$5,'QB_Funds Analysis raw'!$B$5:$AC$5, _xlfn.XLOOKUP($A78,'QB_Funds Analysis raw'!$A$6:$A$104,'QB_Funds Analysis raw'!$B$6:$AC$104))))</f>
        <v>0</v>
      </c>
      <c r="D78" s="252" cm="1">
        <f t="array" ref="D78">IF(ISERROR(_xlfn.XLOOKUP(D$5,'QB_Funds Analysis raw'!$B$5:$AC$5, _xlfn.XLOOKUP($A78,'QB_Funds Analysis raw'!$A$6:$A$104,'QB_Funds Analysis raw'!$B$6:$AC$104))),0,(_xlfn.XLOOKUP(D$5,'QB_Funds Analysis raw'!$B$5:$AC$5, _xlfn.XLOOKUP($A78,'QB_Funds Analysis raw'!$A$6:$A$104,'QB_Funds Analysis raw'!$B$6:$AC$104))))</f>
        <v>0</v>
      </c>
      <c r="E78" s="142" cm="1">
        <f t="array" ref="E78">IF(ISERROR(_xlfn.XLOOKUP(E$5,'QB_Funds Analysis raw'!$B$5:$AC$5, _xlfn.XLOOKUP($A78,'QB_Funds Analysis raw'!$A$6:$A$104,'QB_Funds Analysis raw'!$B$6:$AC$104))),0,(_xlfn.XLOOKUP(E$5,'QB_Funds Analysis raw'!$B$5:$AC$5, _xlfn.XLOOKUP($A78,'QB_Funds Analysis raw'!$A$6:$A$104,'QB_Funds Analysis raw'!$B$6:$AC$104))))</f>
        <v>0</v>
      </c>
      <c r="F78" s="142" cm="1">
        <f t="array" ref="F78">IF(ISERROR(_xlfn.XLOOKUP(F$5,'QB_Funds Analysis raw'!$B$5:$AC$5, _xlfn.XLOOKUP($A78,'QB_Funds Analysis raw'!$A$6:$A$104,'QB_Funds Analysis raw'!$B$6:$AC$104))),0,(_xlfn.XLOOKUP(F$5,'QB_Funds Analysis raw'!$B$5:$AC$5, _xlfn.XLOOKUP($A78,'QB_Funds Analysis raw'!$A$6:$A$104,'QB_Funds Analysis raw'!$B$6:$AC$104))))</f>
        <v>0</v>
      </c>
      <c r="G78" s="142" cm="1">
        <f t="array" ref="G78">IF(ISERROR(_xlfn.XLOOKUP(G$5,'QB_Funds Analysis raw'!$B$5:$AC$5, _xlfn.XLOOKUP($A78,'QB_Funds Analysis raw'!$A$6:$A$104,'QB_Funds Analysis raw'!$B$6:$AC$104))),0,(_xlfn.XLOOKUP(G$5,'QB_Funds Analysis raw'!$B$5:$AC$5, _xlfn.XLOOKUP($A78,'QB_Funds Analysis raw'!$A$6:$A$104,'QB_Funds Analysis raw'!$B$6:$AC$104))))</f>
        <v>0</v>
      </c>
      <c r="H78" s="142" cm="1">
        <f t="array" ref="H78">IF(ISERROR(_xlfn.XLOOKUP(H$5,'QB_Funds Analysis raw'!$B$5:$AC$5, _xlfn.XLOOKUP($A78,'QB_Funds Analysis raw'!$A$6:$A$104,'QB_Funds Analysis raw'!$B$6:$AC$104))),0,(_xlfn.XLOOKUP(H$5,'QB_Funds Analysis raw'!$B$5:$AC$5, _xlfn.XLOOKUP($A78,'QB_Funds Analysis raw'!$A$6:$A$104,'QB_Funds Analysis raw'!$B$6:$AC$104))))</f>
        <v>0</v>
      </c>
      <c r="I78" s="142" cm="1">
        <f t="array" ref="I78">IF(ISERROR(_xlfn.XLOOKUP(I$5,'QB_Funds Analysis raw'!$B$5:$AC$5, _xlfn.XLOOKUP($A78,'QB_Funds Analysis raw'!$A$6:$A$104,'QB_Funds Analysis raw'!$B$6:$AC$104))),0,(_xlfn.XLOOKUP(I$5,'QB_Funds Analysis raw'!$B$5:$AC$5, _xlfn.XLOOKUP($A78,'QB_Funds Analysis raw'!$A$6:$A$104,'QB_Funds Analysis raw'!$B$6:$AC$104))))</f>
        <v>0</v>
      </c>
      <c r="J78" s="142" cm="1">
        <f t="array" ref="J78">IF(ISERROR(_xlfn.XLOOKUP(J$5,'QB_Funds Analysis raw'!$B$5:$AC$5, _xlfn.XLOOKUP($A78,'QB_Funds Analysis raw'!$A$6:$A$104,'QB_Funds Analysis raw'!$B$6:$AC$104))),0,(_xlfn.XLOOKUP(J$5,'QB_Funds Analysis raw'!$B$5:$AC$5, _xlfn.XLOOKUP($A78,'QB_Funds Analysis raw'!$A$6:$A$104,'QB_Funds Analysis raw'!$B$6:$AC$104))))</f>
        <v>0</v>
      </c>
      <c r="K78" s="252" cm="1">
        <f t="array" ref="K78">IF(ISERROR(_xlfn.XLOOKUP(K$5,'QB_Funds Analysis raw'!$B$5:$AC$5, _xlfn.XLOOKUP($A78,'QB_Funds Analysis raw'!$A$6:$A$104,'QB_Funds Analysis raw'!$B$6:$AC$104))),0,(_xlfn.XLOOKUP(K$5,'QB_Funds Analysis raw'!$B$5:$AC$5, _xlfn.XLOOKUP($A78,'QB_Funds Analysis raw'!$A$6:$A$104,'QB_Funds Analysis raw'!$B$6:$AC$104))))</f>
        <v>163</v>
      </c>
      <c r="L78" s="142" cm="1">
        <f t="array" ref="L78">IF(ISERROR(_xlfn.XLOOKUP(L$5,'QB_Funds Analysis raw'!$B$5:$AC$5, _xlfn.XLOOKUP($A78,'QB_Funds Analysis raw'!$A$6:$A$104,'QB_Funds Analysis raw'!$B$6:$AC$104))),0,(_xlfn.XLOOKUP(L$5,'QB_Funds Analysis raw'!$B$5:$AC$5, _xlfn.XLOOKUP($A78,'QB_Funds Analysis raw'!$A$6:$A$104,'QB_Funds Analysis raw'!$B$6:$AC$104))))</f>
        <v>0</v>
      </c>
      <c r="M78" s="142" cm="1">
        <f t="array" ref="M78">IF(ISERROR(_xlfn.XLOOKUP(M$5,'QB_Funds Analysis raw'!$B$5:$AC$5, _xlfn.XLOOKUP($A78,'QB_Funds Analysis raw'!$A$6:$A$104,'QB_Funds Analysis raw'!$B$6:$AC$104))),0,(_xlfn.XLOOKUP(M$5,'QB_Funds Analysis raw'!$B$5:$AC$5, _xlfn.XLOOKUP($A78,'QB_Funds Analysis raw'!$A$6:$A$104,'QB_Funds Analysis raw'!$B$6:$AC$104))))</f>
        <v>0</v>
      </c>
      <c r="N78" s="252" cm="1">
        <f t="array" ref="N78">IF(ISERROR(_xlfn.XLOOKUP(N$5,'QB_Funds Analysis raw'!$B$5:$AC$5, _xlfn.XLOOKUP($A78,'QB_Funds Analysis raw'!$A$6:$A$104,'QB_Funds Analysis raw'!$B$6:$AC$104))),0,(_xlfn.XLOOKUP(N$5,'QB_Funds Analysis raw'!$B$5:$AC$5, _xlfn.XLOOKUP($A78,'QB_Funds Analysis raw'!$A$6:$A$104,'QB_Funds Analysis raw'!$B$6:$AC$104))))</f>
        <v>0</v>
      </c>
      <c r="O78" s="252" cm="1">
        <f t="array" ref="O78">IF(ISERROR(_xlfn.XLOOKUP(O$5,'QB_Funds Analysis raw'!$B$5:$AC$5, _xlfn.XLOOKUP($A78,'QB_Funds Analysis raw'!$A$6:$A$104,'QB_Funds Analysis raw'!$B$6:$AC$104))),0,(_xlfn.XLOOKUP(O$5,'QB_Funds Analysis raw'!$B$5:$AC$5, _xlfn.XLOOKUP($A78,'QB_Funds Analysis raw'!$A$6:$A$104,'QB_Funds Analysis raw'!$B$6:$AC$104))))</f>
        <v>0</v>
      </c>
      <c r="P78" s="142" cm="1">
        <f t="array" ref="P78">IF(ISERROR(_xlfn.XLOOKUP(P$5,'QB_Funds Analysis raw'!$B$5:$AC$5, _xlfn.XLOOKUP($A78,'QB_Funds Analysis raw'!$A$6:$A$104,'QB_Funds Analysis raw'!$B$6:$AC$104))),0,(_xlfn.XLOOKUP(P$5,'QB_Funds Analysis raw'!$B$5:$AC$5, _xlfn.XLOOKUP($A78,'QB_Funds Analysis raw'!$A$6:$A$104,'QB_Funds Analysis raw'!$B$6:$AC$104))))</f>
        <v>0</v>
      </c>
      <c r="Q78" s="247" cm="1">
        <f t="array" ref="Q78">IF(ISERROR(_xlfn.XLOOKUP(Q$5,'QB_Funds Analysis raw'!$B$5:$AC$5, _xlfn.XLOOKUP($A78,'QB_Funds Analysis raw'!$A$6:$A$104,'QB_Funds Analysis raw'!$B$6:$AC$104))),0,(_xlfn.XLOOKUP(Q$5,'QB_Funds Analysis raw'!$B$5:$AC$5, _xlfn.XLOOKUP($A78,'QB_Funds Analysis raw'!$A$6:$A$104,'QB_Funds Analysis raw'!$B$6:$AC$104))))</f>
        <v>163</v>
      </c>
      <c r="R78" s="142" cm="1">
        <f t="array" ref="R78">IF(ISERROR(_xlfn.XLOOKUP(R$5,'QB_Funds Analysis raw'!$B$5:$AC$5, _xlfn.XLOOKUP($A78,'QB_Funds Analysis raw'!$A$6:$A$104,'QB_Funds Analysis raw'!$B$6:$AC$104))),0,(_xlfn.XLOOKUP(R$5,'QB_Funds Analysis raw'!$B$5:$AC$5, _xlfn.XLOOKUP($A78,'QB_Funds Analysis raw'!$A$6:$A$104,'QB_Funds Analysis raw'!$B$6:$AC$104))))</f>
        <v>0</v>
      </c>
      <c r="S78" s="142" cm="1">
        <f t="array" ref="S78">IF(ISERROR(_xlfn.XLOOKUP(S$5,'QB_Funds Analysis raw'!$B$5:$AC$5, _xlfn.XLOOKUP($A78,'QB_Funds Analysis raw'!$A$6:$A$104,'QB_Funds Analysis raw'!$B$6:$AC$104))),0,(_xlfn.XLOOKUP(S$5,'QB_Funds Analysis raw'!$B$5:$AC$5, _xlfn.XLOOKUP($A78,'QB_Funds Analysis raw'!$A$6:$A$104,'QB_Funds Analysis raw'!$B$6:$AC$104))))</f>
        <v>0</v>
      </c>
      <c r="T78" s="142" cm="1">
        <f t="array" ref="T78">IF(ISERROR(_xlfn.XLOOKUP(T$5,'QB_Funds Analysis raw'!$B$5:$AC$5, _xlfn.XLOOKUP($A78,'QB_Funds Analysis raw'!$A$6:$A$104,'QB_Funds Analysis raw'!$B$6:$AC$104))),0,(_xlfn.XLOOKUP(T$5,'QB_Funds Analysis raw'!$B$5:$AC$5, _xlfn.XLOOKUP($A78,'QB_Funds Analysis raw'!$A$6:$A$104,'QB_Funds Analysis raw'!$B$6:$AC$104))))</f>
        <v>0</v>
      </c>
      <c r="U78" s="142" cm="1">
        <f t="array" ref="U78">IF(ISERROR(_xlfn.XLOOKUP(U$5,'QB_Funds Analysis raw'!$B$5:$AC$5, _xlfn.XLOOKUP($A78,'QB_Funds Analysis raw'!$A$6:$A$104,'QB_Funds Analysis raw'!$B$6:$AC$104))),0,(_xlfn.XLOOKUP(U$5,'QB_Funds Analysis raw'!$B$5:$AC$5, _xlfn.XLOOKUP($A78,'QB_Funds Analysis raw'!$A$6:$A$104,'QB_Funds Analysis raw'!$B$6:$AC$104))))</f>
        <v>0</v>
      </c>
      <c r="V78" s="142" cm="1">
        <f t="array" ref="V78">IF(ISERROR(_xlfn.XLOOKUP(V$5,'QB_Funds Analysis raw'!$B$5:$AC$5, _xlfn.XLOOKUP($A78,'QB_Funds Analysis raw'!$A$6:$A$104,'QB_Funds Analysis raw'!$B$6:$AC$104))),0,(_xlfn.XLOOKUP(V$5,'QB_Funds Analysis raw'!$B$5:$AC$5, _xlfn.XLOOKUP($A78,'QB_Funds Analysis raw'!$A$6:$A$104,'QB_Funds Analysis raw'!$B$6:$AC$104))))</f>
        <v>0</v>
      </c>
      <c r="W78" s="142" cm="1">
        <f t="array" ref="W78">IF(ISERROR(_xlfn.XLOOKUP(W$5,'QB_Funds Analysis raw'!$B$5:$AC$5, _xlfn.XLOOKUP($A78,'QB_Funds Analysis raw'!$A$6:$A$104,'QB_Funds Analysis raw'!$B$6:$AC$104))),0,(_xlfn.XLOOKUP(W$5,'QB_Funds Analysis raw'!$B$5:$AC$5, _xlfn.XLOOKUP($A78,'QB_Funds Analysis raw'!$A$6:$A$104,'QB_Funds Analysis raw'!$B$6:$AC$104))))</f>
        <v>0</v>
      </c>
      <c r="X78" s="142" cm="1">
        <f t="array" ref="X78">IF(ISERROR(_xlfn.XLOOKUP(X$5,'QB_Funds Analysis raw'!$B$5:$AC$5, _xlfn.XLOOKUP($A78,'QB_Funds Analysis raw'!$A$6:$A$104,'QB_Funds Analysis raw'!$B$6:$AC$104))),0,(_xlfn.XLOOKUP(X$5,'QB_Funds Analysis raw'!$B$5:$AC$5, _xlfn.XLOOKUP($A78,'QB_Funds Analysis raw'!$A$6:$A$104,'QB_Funds Analysis raw'!$B$6:$AC$104))))</f>
        <v>0</v>
      </c>
      <c r="Y78" s="142" cm="1">
        <f t="array" ref="Y78">IF(ISERROR(_xlfn.XLOOKUP(Y$5,'QB_Funds Analysis raw'!$B$5:$AC$5, _xlfn.XLOOKUP($A78,'QB_Funds Analysis raw'!$A$6:$A$104,'QB_Funds Analysis raw'!$B$6:$AC$104))),0,(_xlfn.XLOOKUP(Y$5,'QB_Funds Analysis raw'!$B$5:$AC$5, _xlfn.XLOOKUP($A78,'QB_Funds Analysis raw'!$A$6:$A$104,'QB_Funds Analysis raw'!$B$6:$AC$104))))</f>
        <v>0</v>
      </c>
      <c r="Z78" s="142" cm="1">
        <f t="array" ref="Z78">IF(ISERROR(_xlfn.XLOOKUP(Z$5,'QB_Funds Analysis raw'!$B$5:$AC$5, _xlfn.XLOOKUP($A78,'QB_Funds Analysis raw'!$A$6:$A$104,'QB_Funds Analysis raw'!$B$6:$AC$104))),0,(_xlfn.XLOOKUP(Z$5,'QB_Funds Analysis raw'!$B$5:$AC$5, _xlfn.XLOOKUP($A78,'QB_Funds Analysis raw'!$A$6:$A$104,'QB_Funds Analysis raw'!$B$6:$AC$104))))</f>
        <v>0</v>
      </c>
      <c r="AA78" s="142" cm="1">
        <f t="array" ref="AA78">IF(ISERROR(_xlfn.XLOOKUP(AA$5,'QB_Funds Analysis raw'!$B$5:$AC$5, _xlfn.XLOOKUP($A78,'QB_Funds Analysis raw'!$A$6:$A$104,'QB_Funds Analysis raw'!$B$6:$AC$104))),0,(_xlfn.XLOOKUP(AA$5,'QB_Funds Analysis raw'!$B$5:$AC$5, _xlfn.XLOOKUP($A78,'QB_Funds Analysis raw'!$A$6:$A$104,'QB_Funds Analysis raw'!$B$6:$AC$104))))</f>
        <v>0</v>
      </c>
      <c r="AB78" s="142" cm="1">
        <f t="array" ref="AB78">IF(ISERROR(_xlfn.XLOOKUP(AB$5,'QB_Funds Analysis raw'!$B$5:$AC$5, _xlfn.XLOOKUP($A78,'QB_Funds Analysis raw'!$A$6:$A$104,'QB_Funds Analysis raw'!$B$6:$AC$104))),0,(_xlfn.XLOOKUP(AB$5,'QB_Funds Analysis raw'!$B$5:$AC$5, _xlfn.XLOOKUP($A78,'QB_Funds Analysis raw'!$A$6:$A$104,'QB_Funds Analysis raw'!$B$6:$AC$104))))</f>
        <v>866.94</v>
      </c>
      <c r="AC78" s="142" cm="1">
        <f t="array" ref="AC78">IF(ISERROR(_xlfn.XLOOKUP(AC$5,'QB_Funds Analysis raw'!$B$5:$AC$5, _xlfn.XLOOKUP($A78,'QB_Funds Analysis raw'!$A$6:$A$104,'QB_Funds Analysis raw'!$B$6:$AC$104))),0,(_xlfn.XLOOKUP(AC$5,'QB_Funds Analysis raw'!$B$5:$AC$5, _xlfn.XLOOKUP($A78,'QB_Funds Analysis raw'!$A$6:$A$104,'QB_Funds Analysis raw'!$B$6:$AC$104))))</f>
        <v>1029.94</v>
      </c>
      <c r="AD78" s="167">
        <f t="shared" si="13"/>
        <v>1029.94</v>
      </c>
      <c r="AE78" s="167">
        <f t="shared" si="22"/>
        <v>0</v>
      </c>
    </row>
    <row r="79" spans="1:31" ht="20.25" customHeight="1" x14ac:dyDescent="0.25">
      <c r="A79" s="2" t="s">
        <v>78</v>
      </c>
      <c r="B79" s="142" cm="1">
        <f t="array" ref="B79">IF(ISERROR(_xlfn.XLOOKUP(B$5,'QB_Funds Analysis raw'!$B$5:$AC$5, _xlfn.XLOOKUP($A79,'QB_Funds Analysis raw'!$A$6:$A$104,'QB_Funds Analysis raw'!$B$6:$AC$104))),0,(_xlfn.XLOOKUP(B$5,'QB_Funds Analysis raw'!$B$5:$AC$5, _xlfn.XLOOKUP($A79,'QB_Funds Analysis raw'!$A$6:$A$104,'QB_Funds Analysis raw'!$B$6:$AC$104))))</f>
        <v>0</v>
      </c>
      <c r="C79" s="142" cm="1">
        <f t="array" ref="C79">IF(ISERROR(_xlfn.XLOOKUP(C$5,'QB_Funds Analysis raw'!$B$5:$AC$5, _xlfn.XLOOKUP($A79,'QB_Funds Analysis raw'!$A$6:$A$104,'QB_Funds Analysis raw'!$B$6:$AC$104))),0,(_xlfn.XLOOKUP(C$5,'QB_Funds Analysis raw'!$B$5:$AC$5, _xlfn.XLOOKUP($A79,'QB_Funds Analysis raw'!$A$6:$A$104,'QB_Funds Analysis raw'!$B$6:$AC$104))))</f>
        <v>0</v>
      </c>
      <c r="D79" s="252" cm="1">
        <f t="array" ref="D79">IF(ISERROR(_xlfn.XLOOKUP(D$5,'QB_Funds Analysis raw'!$B$5:$AC$5, _xlfn.XLOOKUP($A79,'QB_Funds Analysis raw'!$A$6:$A$104,'QB_Funds Analysis raw'!$B$6:$AC$104))),0,(_xlfn.XLOOKUP(D$5,'QB_Funds Analysis raw'!$B$5:$AC$5, _xlfn.XLOOKUP($A79,'QB_Funds Analysis raw'!$A$6:$A$104,'QB_Funds Analysis raw'!$B$6:$AC$104))))</f>
        <v>0</v>
      </c>
      <c r="E79" s="142" cm="1">
        <f t="array" ref="E79">IF(ISERROR(_xlfn.XLOOKUP(E$5,'QB_Funds Analysis raw'!$B$5:$AC$5, _xlfn.XLOOKUP($A79,'QB_Funds Analysis raw'!$A$6:$A$104,'QB_Funds Analysis raw'!$B$6:$AC$104))),0,(_xlfn.XLOOKUP(E$5,'QB_Funds Analysis raw'!$B$5:$AC$5, _xlfn.XLOOKUP($A79,'QB_Funds Analysis raw'!$A$6:$A$104,'QB_Funds Analysis raw'!$B$6:$AC$104))))</f>
        <v>0</v>
      </c>
      <c r="F79" s="142" cm="1">
        <f t="array" ref="F79">IF(ISERROR(_xlfn.XLOOKUP(F$5,'QB_Funds Analysis raw'!$B$5:$AC$5, _xlfn.XLOOKUP($A79,'QB_Funds Analysis raw'!$A$6:$A$104,'QB_Funds Analysis raw'!$B$6:$AC$104))),0,(_xlfn.XLOOKUP(F$5,'QB_Funds Analysis raw'!$B$5:$AC$5, _xlfn.XLOOKUP($A79,'QB_Funds Analysis raw'!$A$6:$A$104,'QB_Funds Analysis raw'!$B$6:$AC$104))))</f>
        <v>0</v>
      </c>
      <c r="G79" s="142" cm="1">
        <f t="array" ref="G79">IF(ISERROR(_xlfn.XLOOKUP(G$5,'QB_Funds Analysis raw'!$B$5:$AC$5, _xlfn.XLOOKUP($A79,'QB_Funds Analysis raw'!$A$6:$A$104,'QB_Funds Analysis raw'!$B$6:$AC$104))),0,(_xlfn.XLOOKUP(G$5,'QB_Funds Analysis raw'!$B$5:$AC$5, _xlfn.XLOOKUP($A79,'QB_Funds Analysis raw'!$A$6:$A$104,'QB_Funds Analysis raw'!$B$6:$AC$104))))</f>
        <v>0</v>
      </c>
      <c r="H79" s="142" cm="1">
        <f t="array" ref="H79">IF(ISERROR(_xlfn.XLOOKUP(H$5,'QB_Funds Analysis raw'!$B$5:$AC$5, _xlfn.XLOOKUP($A79,'QB_Funds Analysis raw'!$A$6:$A$104,'QB_Funds Analysis raw'!$B$6:$AC$104))),0,(_xlfn.XLOOKUP(H$5,'QB_Funds Analysis raw'!$B$5:$AC$5, _xlfn.XLOOKUP($A79,'QB_Funds Analysis raw'!$A$6:$A$104,'QB_Funds Analysis raw'!$B$6:$AC$104))))</f>
        <v>0</v>
      </c>
      <c r="I79" s="142" cm="1">
        <f t="array" ref="I79">IF(ISERROR(_xlfn.XLOOKUP(I$5,'QB_Funds Analysis raw'!$B$5:$AC$5, _xlfn.XLOOKUP($A79,'QB_Funds Analysis raw'!$A$6:$A$104,'QB_Funds Analysis raw'!$B$6:$AC$104))),0,(_xlfn.XLOOKUP(I$5,'QB_Funds Analysis raw'!$B$5:$AC$5, _xlfn.XLOOKUP($A79,'QB_Funds Analysis raw'!$A$6:$A$104,'QB_Funds Analysis raw'!$B$6:$AC$104))))</f>
        <v>0</v>
      </c>
      <c r="J79" s="142" cm="1">
        <f t="array" ref="J79">IF(ISERROR(_xlfn.XLOOKUP(J$5,'QB_Funds Analysis raw'!$B$5:$AC$5, _xlfn.XLOOKUP($A79,'QB_Funds Analysis raw'!$A$6:$A$104,'QB_Funds Analysis raw'!$B$6:$AC$104))),0,(_xlfn.XLOOKUP(J$5,'QB_Funds Analysis raw'!$B$5:$AC$5, _xlfn.XLOOKUP($A79,'QB_Funds Analysis raw'!$A$6:$A$104,'QB_Funds Analysis raw'!$B$6:$AC$104))))</f>
        <v>0</v>
      </c>
      <c r="K79" s="252" cm="1">
        <f t="array" ref="K79">IF(ISERROR(_xlfn.XLOOKUP(K$5,'QB_Funds Analysis raw'!$B$5:$AC$5, _xlfn.XLOOKUP($A79,'QB_Funds Analysis raw'!$A$6:$A$104,'QB_Funds Analysis raw'!$B$6:$AC$104))),0,(_xlfn.XLOOKUP(K$5,'QB_Funds Analysis raw'!$B$5:$AC$5, _xlfn.XLOOKUP($A79,'QB_Funds Analysis raw'!$A$6:$A$104,'QB_Funds Analysis raw'!$B$6:$AC$104))))</f>
        <v>590</v>
      </c>
      <c r="L79" s="142" cm="1">
        <f t="array" ref="L79">IF(ISERROR(_xlfn.XLOOKUP(L$5,'QB_Funds Analysis raw'!$B$5:$AC$5, _xlfn.XLOOKUP($A79,'QB_Funds Analysis raw'!$A$6:$A$104,'QB_Funds Analysis raw'!$B$6:$AC$104))),0,(_xlfn.XLOOKUP(L$5,'QB_Funds Analysis raw'!$B$5:$AC$5, _xlfn.XLOOKUP($A79,'QB_Funds Analysis raw'!$A$6:$A$104,'QB_Funds Analysis raw'!$B$6:$AC$104))))</f>
        <v>0</v>
      </c>
      <c r="M79" s="142" cm="1">
        <f t="array" ref="M79">IF(ISERROR(_xlfn.XLOOKUP(M$5,'QB_Funds Analysis raw'!$B$5:$AC$5, _xlfn.XLOOKUP($A79,'QB_Funds Analysis raw'!$A$6:$A$104,'QB_Funds Analysis raw'!$B$6:$AC$104))),0,(_xlfn.XLOOKUP(M$5,'QB_Funds Analysis raw'!$B$5:$AC$5, _xlfn.XLOOKUP($A79,'QB_Funds Analysis raw'!$A$6:$A$104,'QB_Funds Analysis raw'!$B$6:$AC$104))))</f>
        <v>0</v>
      </c>
      <c r="N79" s="252" cm="1">
        <f t="array" ref="N79">IF(ISERROR(_xlfn.XLOOKUP(N$5,'QB_Funds Analysis raw'!$B$5:$AC$5, _xlfn.XLOOKUP($A79,'QB_Funds Analysis raw'!$A$6:$A$104,'QB_Funds Analysis raw'!$B$6:$AC$104))),0,(_xlfn.XLOOKUP(N$5,'QB_Funds Analysis raw'!$B$5:$AC$5, _xlfn.XLOOKUP($A79,'QB_Funds Analysis raw'!$A$6:$A$104,'QB_Funds Analysis raw'!$B$6:$AC$104))))</f>
        <v>0</v>
      </c>
      <c r="O79" s="252" cm="1">
        <f t="array" ref="O79">IF(ISERROR(_xlfn.XLOOKUP(O$5,'QB_Funds Analysis raw'!$B$5:$AC$5, _xlfn.XLOOKUP($A79,'QB_Funds Analysis raw'!$A$6:$A$104,'QB_Funds Analysis raw'!$B$6:$AC$104))),0,(_xlfn.XLOOKUP(O$5,'QB_Funds Analysis raw'!$B$5:$AC$5, _xlfn.XLOOKUP($A79,'QB_Funds Analysis raw'!$A$6:$A$104,'QB_Funds Analysis raw'!$B$6:$AC$104))))</f>
        <v>0</v>
      </c>
      <c r="P79" s="142" cm="1">
        <f t="array" ref="P79">IF(ISERROR(_xlfn.XLOOKUP(P$5,'QB_Funds Analysis raw'!$B$5:$AC$5, _xlfn.XLOOKUP($A79,'QB_Funds Analysis raw'!$A$6:$A$104,'QB_Funds Analysis raw'!$B$6:$AC$104))),0,(_xlfn.XLOOKUP(P$5,'QB_Funds Analysis raw'!$B$5:$AC$5, _xlfn.XLOOKUP($A79,'QB_Funds Analysis raw'!$A$6:$A$104,'QB_Funds Analysis raw'!$B$6:$AC$104))))</f>
        <v>0</v>
      </c>
      <c r="Q79" s="247" cm="1">
        <f t="array" ref="Q79">IF(ISERROR(_xlfn.XLOOKUP(Q$5,'QB_Funds Analysis raw'!$B$5:$AC$5, _xlfn.XLOOKUP($A79,'QB_Funds Analysis raw'!$A$6:$A$104,'QB_Funds Analysis raw'!$B$6:$AC$104))),0,(_xlfn.XLOOKUP(Q$5,'QB_Funds Analysis raw'!$B$5:$AC$5, _xlfn.XLOOKUP($A79,'QB_Funds Analysis raw'!$A$6:$A$104,'QB_Funds Analysis raw'!$B$6:$AC$104))))</f>
        <v>590</v>
      </c>
      <c r="R79" s="142" cm="1">
        <f t="array" ref="R79">IF(ISERROR(_xlfn.XLOOKUP(R$5,'QB_Funds Analysis raw'!$B$5:$AC$5, _xlfn.XLOOKUP($A79,'QB_Funds Analysis raw'!$A$6:$A$104,'QB_Funds Analysis raw'!$B$6:$AC$104))),0,(_xlfn.XLOOKUP(R$5,'QB_Funds Analysis raw'!$B$5:$AC$5, _xlfn.XLOOKUP($A79,'QB_Funds Analysis raw'!$A$6:$A$104,'QB_Funds Analysis raw'!$B$6:$AC$104))))</f>
        <v>0</v>
      </c>
      <c r="S79" s="142" cm="1">
        <f t="array" ref="S79">IF(ISERROR(_xlfn.XLOOKUP(S$5,'QB_Funds Analysis raw'!$B$5:$AC$5, _xlfn.XLOOKUP($A79,'QB_Funds Analysis raw'!$A$6:$A$104,'QB_Funds Analysis raw'!$B$6:$AC$104))),0,(_xlfn.XLOOKUP(S$5,'QB_Funds Analysis raw'!$B$5:$AC$5, _xlfn.XLOOKUP($A79,'QB_Funds Analysis raw'!$A$6:$A$104,'QB_Funds Analysis raw'!$B$6:$AC$104))))</f>
        <v>0</v>
      </c>
      <c r="T79" s="142" cm="1">
        <f t="array" ref="T79">IF(ISERROR(_xlfn.XLOOKUP(T$5,'QB_Funds Analysis raw'!$B$5:$AC$5, _xlfn.XLOOKUP($A79,'QB_Funds Analysis raw'!$A$6:$A$104,'QB_Funds Analysis raw'!$B$6:$AC$104))),0,(_xlfn.XLOOKUP(T$5,'QB_Funds Analysis raw'!$B$5:$AC$5, _xlfn.XLOOKUP($A79,'QB_Funds Analysis raw'!$A$6:$A$104,'QB_Funds Analysis raw'!$B$6:$AC$104))))</f>
        <v>0</v>
      </c>
      <c r="U79" s="142" cm="1">
        <f t="array" ref="U79">IF(ISERROR(_xlfn.XLOOKUP(U$5,'QB_Funds Analysis raw'!$B$5:$AC$5, _xlfn.XLOOKUP($A79,'QB_Funds Analysis raw'!$A$6:$A$104,'QB_Funds Analysis raw'!$B$6:$AC$104))),0,(_xlfn.XLOOKUP(U$5,'QB_Funds Analysis raw'!$B$5:$AC$5, _xlfn.XLOOKUP($A79,'QB_Funds Analysis raw'!$A$6:$A$104,'QB_Funds Analysis raw'!$B$6:$AC$104))))</f>
        <v>0</v>
      </c>
      <c r="V79" s="142" cm="1">
        <f t="array" ref="V79">IF(ISERROR(_xlfn.XLOOKUP(V$5,'QB_Funds Analysis raw'!$B$5:$AC$5, _xlfn.XLOOKUP($A79,'QB_Funds Analysis raw'!$A$6:$A$104,'QB_Funds Analysis raw'!$B$6:$AC$104))),0,(_xlfn.XLOOKUP(V$5,'QB_Funds Analysis raw'!$B$5:$AC$5, _xlfn.XLOOKUP($A79,'QB_Funds Analysis raw'!$A$6:$A$104,'QB_Funds Analysis raw'!$B$6:$AC$104))))</f>
        <v>0</v>
      </c>
      <c r="W79" s="142" cm="1">
        <f t="array" ref="W79">IF(ISERROR(_xlfn.XLOOKUP(W$5,'QB_Funds Analysis raw'!$B$5:$AC$5, _xlfn.XLOOKUP($A79,'QB_Funds Analysis raw'!$A$6:$A$104,'QB_Funds Analysis raw'!$B$6:$AC$104))),0,(_xlfn.XLOOKUP(W$5,'QB_Funds Analysis raw'!$B$5:$AC$5, _xlfn.XLOOKUP($A79,'QB_Funds Analysis raw'!$A$6:$A$104,'QB_Funds Analysis raw'!$B$6:$AC$104))))</f>
        <v>0</v>
      </c>
      <c r="X79" s="142" cm="1">
        <f t="array" ref="X79">IF(ISERROR(_xlfn.XLOOKUP(X$5,'QB_Funds Analysis raw'!$B$5:$AC$5, _xlfn.XLOOKUP($A79,'QB_Funds Analysis raw'!$A$6:$A$104,'QB_Funds Analysis raw'!$B$6:$AC$104))),0,(_xlfn.XLOOKUP(X$5,'QB_Funds Analysis raw'!$B$5:$AC$5, _xlfn.XLOOKUP($A79,'QB_Funds Analysis raw'!$A$6:$A$104,'QB_Funds Analysis raw'!$B$6:$AC$104))))</f>
        <v>0</v>
      </c>
      <c r="Y79" s="142" cm="1">
        <f t="array" ref="Y79">IF(ISERROR(_xlfn.XLOOKUP(Y$5,'QB_Funds Analysis raw'!$B$5:$AC$5, _xlfn.XLOOKUP($A79,'QB_Funds Analysis raw'!$A$6:$A$104,'QB_Funds Analysis raw'!$B$6:$AC$104))),0,(_xlfn.XLOOKUP(Y$5,'QB_Funds Analysis raw'!$B$5:$AC$5, _xlfn.XLOOKUP($A79,'QB_Funds Analysis raw'!$A$6:$A$104,'QB_Funds Analysis raw'!$B$6:$AC$104))))</f>
        <v>0</v>
      </c>
      <c r="Z79" s="142" cm="1">
        <f t="array" ref="Z79">IF(ISERROR(_xlfn.XLOOKUP(Z$5,'QB_Funds Analysis raw'!$B$5:$AC$5, _xlfn.XLOOKUP($A79,'QB_Funds Analysis raw'!$A$6:$A$104,'QB_Funds Analysis raw'!$B$6:$AC$104))),0,(_xlfn.XLOOKUP(Z$5,'QB_Funds Analysis raw'!$B$5:$AC$5, _xlfn.XLOOKUP($A79,'QB_Funds Analysis raw'!$A$6:$A$104,'QB_Funds Analysis raw'!$B$6:$AC$104))))</f>
        <v>0</v>
      </c>
      <c r="AA79" s="142" cm="1">
        <f t="array" ref="AA79">IF(ISERROR(_xlfn.XLOOKUP(AA$5,'QB_Funds Analysis raw'!$B$5:$AC$5, _xlfn.XLOOKUP($A79,'QB_Funds Analysis raw'!$A$6:$A$104,'QB_Funds Analysis raw'!$B$6:$AC$104))),0,(_xlfn.XLOOKUP(AA$5,'QB_Funds Analysis raw'!$B$5:$AC$5, _xlfn.XLOOKUP($A79,'QB_Funds Analysis raw'!$A$6:$A$104,'QB_Funds Analysis raw'!$B$6:$AC$104))))</f>
        <v>0</v>
      </c>
      <c r="AB79" s="142" cm="1">
        <f t="array" ref="AB79">IF(ISERROR(_xlfn.XLOOKUP(AB$5,'QB_Funds Analysis raw'!$B$5:$AC$5, _xlfn.XLOOKUP($A79,'QB_Funds Analysis raw'!$A$6:$A$104,'QB_Funds Analysis raw'!$B$6:$AC$104))),0,(_xlfn.XLOOKUP(AB$5,'QB_Funds Analysis raw'!$B$5:$AC$5, _xlfn.XLOOKUP($A79,'QB_Funds Analysis raw'!$A$6:$A$104,'QB_Funds Analysis raw'!$B$6:$AC$104))))</f>
        <v>1923.25</v>
      </c>
      <c r="AC79" s="142" cm="1">
        <f t="array" ref="AC79">IF(ISERROR(_xlfn.XLOOKUP(AC$5,'QB_Funds Analysis raw'!$B$5:$AC$5, _xlfn.XLOOKUP($A79,'QB_Funds Analysis raw'!$A$6:$A$104,'QB_Funds Analysis raw'!$B$6:$AC$104))),0,(_xlfn.XLOOKUP(AC$5,'QB_Funds Analysis raw'!$B$5:$AC$5, _xlfn.XLOOKUP($A79,'QB_Funds Analysis raw'!$A$6:$A$104,'QB_Funds Analysis raw'!$B$6:$AC$104))))</f>
        <v>2513.25</v>
      </c>
      <c r="AD79" s="167">
        <f t="shared" si="13"/>
        <v>2513.25</v>
      </c>
      <c r="AE79" s="167">
        <f t="shared" si="22"/>
        <v>0</v>
      </c>
    </row>
    <row r="80" spans="1:31" ht="20.25" customHeight="1" x14ac:dyDescent="0.25">
      <c r="A80" s="2" t="s">
        <v>79</v>
      </c>
      <c r="B80" s="142" cm="1">
        <f t="array" ref="B80">IF(ISERROR(_xlfn.XLOOKUP(B$5,'QB_Funds Analysis raw'!$B$5:$AC$5, _xlfn.XLOOKUP($A80,'QB_Funds Analysis raw'!$A$6:$A$104,'QB_Funds Analysis raw'!$B$6:$AC$104))),0,(_xlfn.XLOOKUP(B$5,'QB_Funds Analysis raw'!$B$5:$AC$5, _xlfn.XLOOKUP($A80,'QB_Funds Analysis raw'!$A$6:$A$104,'QB_Funds Analysis raw'!$B$6:$AC$104))))</f>
        <v>0</v>
      </c>
      <c r="C80" s="142" cm="1">
        <f t="array" ref="C80">IF(ISERROR(_xlfn.XLOOKUP(C$5,'QB_Funds Analysis raw'!$B$5:$AC$5, _xlfn.XLOOKUP($A80,'QB_Funds Analysis raw'!$A$6:$A$104,'QB_Funds Analysis raw'!$B$6:$AC$104))),0,(_xlfn.XLOOKUP(C$5,'QB_Funds Analysis raw'!$B$5:$AC$5, _xlfn.XLOOKUP($A80,'QB_Funds Analysis raw'!$A$6:$A$104,'QB_Funds Analysis raw'!$B$6:$AC$104))))</f>
        <v>0</v>
      </c>
      <c r="D80" s="252" cm="1">
        <f t="array" ref="D80">IF(ISERROR(_xlfn.XLOOKUP(D$5,'QB_Funds Analysis raw'!$B$5:$AC$5, _xlfn.XLOOKUP($A80,'QB_Funds Analysis raw'!$A$6:$A$104,'QB_Funds Analysis raw'!$B$6:$AC$104))),0,(_xlfn.XLOOKUP(D$5,'QB_Funds Analysis raw'!$B$5:$AC$5, _xlfn.XLOOKUP($A80,'QB_Funds Analysis raw'!$A$6:$A$104,'QB_Funds Analysis raw'!$B$6:$AC$104))))</f>
        <v>0</v>
      </c>
      <c r="E80" s="142" cm="1">
        <f t="array" ref="E80">IF(ISERROR(_xlfn.XLOOKUP(E$5,'QB_Funds Analysis raw'!$B$5:$AC$5, _xlfn.XLOOKUP($A80,'QB_Funds Analysis raw'!$A$6:$A$104,'QB_Funds Analysis raw'!$B$6:$AC$104))),0,(_xlfn.XLOOKUP(E$5,'QB_Funds Analysis raw'!$B$5:$AC$5, _xlfn.XLOOKUP($A80,'QB_Funds Analysis raw'!$A$6:$A$104,'QB_Funds Analysis raw'!$B$6:$AC$104))))</f>
        <v>0</v>
      </c>
      <c r="F80" s="142" cm="1">
        <f t="array" ref="F80">IF(ISERROR(_xlfn.XLOOKUP(F$5,'QB_Funds Analysis raw'!$B$5:$AC$5, _xlfn.XLOOKUP($A80,'QB_Funds Analysis raw'!$A$6:$A$104,'QB_Funds Analysis raw'!$B$6:$AC$104))),0,(_xlfn.XLOOKUP(F$5,'QB_Funds Analysis raw'!$B$5:$AC$5, _xlfn.XLOOKUP($A80,'QB_Funds Analysis raw'!$A$6:$A$104,'QB_Funds Analysis raw'!$B$6:$AC$104))))</f>
        <v>0</v>
      </c>
      <c r="G80" s="142" cm="1">
        <f t="array" ref="G80">IF(ISERROR(_xlfn.XLOOKUP(G$5,'QB_Funds Analysis raw'!$B$5:$AC$5, _xlfn.XLOOKUP($A80,'QB_Funds Analysis raw'!$A$6:$A$104,'QB_Funds Analysis raw'!$B$6:$AC$104))),0,(_xlfn.XLOOKUP(G$5,'QB_Funds Analysis raw'!$B$5:$AC$5, _xlfn.XLOOKUP($A80,'QB_Funds Analysis raw'!$A$6:$A$104,'QB_Funds Analysis raw'!$B$6:$AC$104))))</f>
        <v>0</v>
      </c>
      <c r="H80" s="142" cm="1">
        <f t="array" ref="H80">IF(ISERROR(_xlfn.XLOOKUP(H$5,'QB_Funds Analysis raw'!$B$5:$AC$5, _xlfn.XLOOKUP($A80,'QB_Funds Analysis raw'!$A$6:$A$104,'QB_Funds Analysis raw'!$B$6:$AC$104))),0,(_xlfn.XLOOKUP(H$5,'QB_Funds Analysis raw'!$B$5:$AC$5, _xlfn.XLOOKUP($A80,'QB_Funds Analysis raw'!$A$6:$A$104,'QB_Funds Analysis raw'!$B$6:$AC$104))))</f>
        <v>0</v>
      </c>
      <c r="I80" s="142" cm="1">
        <f t="array" ref="I80">IF(ISERROR(_xlfn.XLOOKUP(I$5,'QB_Funds Analysis raw'!$B$5:$AC$5, _xlfn.XLOOKUP($A80,'QB_Funds Analysis raw'!$A$6:$A$104,'QB_Funds Analysis raw'!$B$6:$AC$104))),0,(_xlfn.XLOOKUP(I$5,'QB_Funds Analysis raw'!$B$5:$AC$5, _xlfn.XLOOKUP($A80,'QB_Funds Analysis raw'!$A$6:$A$104,'QB_Funds Analysis raw'!$B$6:$AC$104))))</f>
        <v>0</v>
      </c>
      <c r="J80" s="142" cm="1">
        <f t="array" ref="J80">IF(ISERROR(_xlfn.XLOOKUP(J$5,'QB_Funds Analysis raw'!$B$5:$AC$5, _xlfn.XLOOKUP($A80,'QB_Funds Analysis raw'!$A$6:$A$104,'QB_Funds Analysis raw'!$B$6:$AC$104))),0,(_xlfn.XLOOKUP(J$5,'QB_Funds Analysis raw'!$B$5:$AC$5, _xlfn.XLOOKUP($A80,'QB_Funds Analysis raw'!$A$6:$A$104,'QB_Funds Analysis raw'!$B$6:$AC$104))))</f>
        <v>0</v>
      </c>
      <c r="K80" s="252" cm="1">
        <f t="array" ref="K80">IF(ISERROR(_xlfn.XLOOKUP(K$5,'QB_Funds Analysis raw'!$B$5:$AC$5, _xlfn.XLOOKUP($A80,'QB_Funds Analysis raw'!$A$6:$A$104,'QB_Funds Analysis raw'!$B$6:$AC$104))),0,(_xlfn.XLOOKUP(K$5,'QB_Funds Analysis raw'!$B$5:$AC$5, _xlfn.XLOOKUP($A80,'QB_Funds Analysis raw'!$A$6:$A$104,'QB_Funds Analysis raw'!$B$6:$AC$104))))</f>
        <v>0</v>
      </c>
      <c r="L80" s="142" cm="1">
        <f t="array" ref="L80">IF(ISERROR(_xlfn.XLOOKUP(L$5,'QB_Funds Analysis raw'!$B$5:$AC$5, _xlfn.XLOOKUP($A80,'QB_Funds Analysis raw'!$A$6:$A$104,'QB_Funds Analysis raw'!$B$6:$AC$104))),0,(_xlfn.XLOOKUP(L$5,'QB_Funds Analysis raw'!$B$5:$AC$5, _xlfn.XLOOKUP($A80,'QB_Funds Analysis raw'!$A$6:$A$104,'QB_Funds Analysis raw'!$B$6:$AC$104))))</f>
        <v>0</v>
      </c>
      <c r="M80" s="142" cm="1">
        <f t="array" ref="M80">IF(ISERROR(_xlfn.XLOOKUP(M$5,'QB_Funds Analysis raw'!$B$5:$AC$5, _xlfn.XLOOKUP($A80,'QB_Funds Analysis raw'!$A$6:$A$104,'QB_Funds Analysis raw'!$B$6:$AC$104))),0,(_xlfn.XLOOKUP(M$5,'QB_Funds Analysis raw'!$B$5:$AC$5, _xlfn.XLOOKUP($A80,'QB_Funds Analysis raw'!$A$6:$A$104,'QB_Funds Analysis raw'!$B$6:$AC$104))))</f>
        <v>0</v>
      </c>
      <c r="N80" s="252" cm="1">
        <f t="array" ref="N80">IF(ISERROR(_xlfn.XLOOKUP(N$5,'QB_Funds Analysis raw'!$B$5:$AC$5, _xlfn.XLOOKUP($A80,'QB_Funds Analysis raw'!$A$6:$A$104,'QB_Funds Analysis raw'!$B$6:$AC$104))),0,(_xlfn.XLOOKUP(N$5,'QB_Funds Analysis raw'!$B$5:$AC$5, _xlfn.XLOOKUP($A80,'QB_Funds Analysis raw'!$A$6:$A$104,'QB_Funds Analysis raw'!$B$6:$AC$104))))</f>
        <v>0</v>
      </c>
      <c r="O80" s="252" cm="1">
        <f t="array" ref="O80">IF(ISERROR(_xlfn.XLOOKUP(O$5,'QB_Funds Analysis raw'!$B$5:$AC$5, _xlfn.XLOOKUP($A80,'QB_Funds Analysis raw'!$A$6:$A$104,'QB_Funds Analysis raw'!$B$6:$AC$104))),0,(_xlfn.XLOOKUP(O$5,'QB_Funds Analysis raw'!$B$5:$AC$5, _xlfn.XLOOKUP($A80,'QB_Funds Analysis raw'!$A$6:$A$104,'QB_Funds Analysis raw'!$B$6:$AC$104))))</f>
        <v>0</v>
      </c>
      <c r="P80" s="142" cm="1">
        <f t="array" ref="P80">IF(ISERROR(_xlfn.XLOOKUP(P$5,'QB_Funds Analysis raw'!$B$5:$AC$5, _xlfn.XLOOKUP($A80,'QB_Funds Analysis raw'!$A$6:$A$104,'QB_Funds Analysis raw'!$B$6:$AC$104))),0,(_xlfn.XLOOKUP(P$5,'QB_Funds Analysis raw'!$B$5:$AC$5, _xlfn.XLOOKUP($A80,'QB_Funds Analysis raw'!$A$6:$A$104,'QB_Funds Analysis raw'!$B$6:$AC$104))))</f>
        <v>0</v>
      </c>
      <c r="Q80" s="247" cm="1">
        <f t="array" ref="Q80">IF(ISERROR(_xlfn.XLOOKUP(Q$5,'QB_Funds Analysis raw'!$B$5:$AC$5, _xlfn.XLOOKUP($A80,'QB_Funds Analysis raw'!$A$6:$A$104,'QB_Funds Analysis raw'!$B$6:$AC$104))),0,(_xlfn.XLOOKUP(Q$5,'QB_Funds Analysis raw'!$B$5:$AC$5, _xlfn.XLOOKUP($A80,'QB_Funds Analysis raw'!$A$6:$A$104,'QB_Funds Analysis raw'!$B$6:$AC$104))))</f>
        <v>0</v>
      </c>
      <c r="R80" s="142" cm="1">
        <f t="array" ref="R80">IF(ISERROR(_xlfn.XLOOKUP(R$5,'QB_Funds Analysis raw'!$B$5:$AC$5, _xlfn.XLOOKUP($A80,'QB_Funds Analysis raw'!$A$6:$A$104,'QB_Funds Analysis raw'!$B$6:$AC$104))),0,(_xlfn.XLOOKUP(R$5,'QB_Funds Analysis raw'!$B$5:$AC$5, _xlfn.XLOOKUP($A80,'QB_Funds Analysis raw'!$A$6:$A$104,'QB_Funds Analysis raw'!$B$6:$AC$104))))</f>
        <v>0</v>
      </c>
      <c r="S80" s="142" cm="1">
        <f t="array" ref="S80">IF(ISERROR(_xlfn.XLOOKUP(S$5,'QB_Funds Analysis raw'!$B$5:$AC$5, _xlfn.XLOOKUP($A80,'QB_Funds Analysis raw'!$A$6:$A$104,'QB_Funds Analysis raw'!$B$6:$AC$104))),0,(_xlfn.XLOOKUP(S$5,'QB_Funds Analysis raw'!$B$5:$AC$5, _xlfn.XLOOKUP($A80,'QB_Funds Analysis raw'!$A$6:$A$104,'QB_Funds Analysis raw'!$B$6:$AC$104))))</f>
        <v>0</v>
      </c>
      <c r="T80" s="142" cm="1">
        <f t="array" ref="T80">IF(ISERROR(_xlfn.XLOOKUP(T$5,'QB_Funds Analysis raw'!$B$5:$AC$5, _xlfn.XLOOKUP($A80,'QB_Funds Analysis raw'!$A$6:$A$104,'QB_Funds Analysis raw'!$B$6:$AC$104))),0,(_xlfn.XLOOKUP(T$5,'QB_Funds Analysis raw'!$B$5:$AC$5, _xlfn.XLOOKUP($A80,'QB_Funds Analysis raw'!$A$6:$A$104,'QB_Funds Analysis raw'!$B$6:$AC$104))))</f>
        <v>0</v>
      </c>
      <c r="U80" s="142" cm="1">
        <f t="array" ref="U80">IF(ISERROR(_xlfn.XLOOKUP(U$5,'QB_Funds Analysis raw'!$B$5:$AC$5, _xlfn.XLOOKUP($A80,'QB_Funds Analysis raw'!$A$6:$A$104,'QB_Funds Analysis raw'!$B$6:$AC$104))),0,(_xlfn.XLOOKUP(U$5,'QB_Funds Analysis raw'!$B$5:$AC$5, _xlfn.XLOOKUP($A80,'QB_Funds Analysis raw'!$A$6:$A$104,'QB_Funds Analysis raw'!$B$6:$AC$104))))</f>
        <v>0</v>
      </c>
      <c r="V80" s="142" cm="1">
        <f t="array" ref="V80">IF(ISERROR(_xlfn.XLOOKUP(V$5,'QB_Funds Analysis raw'!$B$5:$AC$5, _xlfn.XLOOKUP($A80,'QB_Funds Analysis raw'!$A$6:$A$104,'QB_Funds Analysis raw'!$B$6:$AC$104))),0,(_xlfn.XLOOKUP(V$5,'QB_Funds Analysis raw'!$B$5:$AC$5, _xlfn.XLOOKUP($A80,'QB_Funds Analysis raw'!$A$6:$A$104,'QB_Funds Analysis raw'!$B$6:$AC$104))))</f>
        <v>0</v>
      </c>
      <c r="W80" s="142" cm="1">
        <f t="array" ref="W80">IF(ISERROR(_xlfn.XLOOKUP(W$5,'QB_Funds Analysis raw'!$B$5:$AC$5, _xlfn.XLOOKUP($A80,'QB_Funds Analysis raw'!$A$6:$A$104,'QB_Funds Analysis raw'!$B$6:$AC$104))),0,(_xlfn.XLOOKUP(W$5,'QB_Funds Analysis raw'!$B$5:$AC$5, _xlfn.XLOOKUP($A80,'QB_Funds Analysis raw'!$A$6:$A$104,'QB_Funds Analysis raw'!$B$6:$AC$104))))</f>
        <v>0</v>
      </c>
      <c r="X80" s="142" cm="1">
        <f t="array" ref="X80">IF(ISERROR(_xlfn.XLOOKUP(X$5,'QB_Funds Analysis raw'!$B$5:$AC$5, _xlfn.XLOOKUP($A80,'QB_Funds Analysis raw'!$A$6:$A$104,'QB_Funds Analysis raw'!$B$6:$AC$104))),0,(_xlfn.XLOOKUP(X$5,'QB_Funds Analysis raw'!$B$5:$AC$5, _xlfn.XLOOKUP($A80,'QB_Funds Analysis raw'!$A$6:$A$104,'QB_Funds Analysis raw'!$B$6:$AC$104))))</f>
        <v>0</v>
      </c>
      <c r="Y80" s="142" cm="1">
        <f t="array" ref="Y80">IF(ISERROR(_xlfn.XLOOKUP(Y$5,'QB_Funds Analysis raw'!$B$5:$AC$5, _xlfn.XLOOKUP($A80,'QB_Funds Analysis raw'!$A$6:$A$104,'QB_Funds Analysis raw'!$B$6:$AC$104))),0,(_xlfn.XLOOKUP(Y$5,'QB_Funds Analysis raw'!$B$5:$AC$5, _xlfn.XLOOKUP($A80,'QB_Funds Analysis raw'!$A$6:$A$104,'QB_Funds Analysis raw'!$B$6:$AC$104))))</f>
        <v>0</v>
      </c>
      <c r="Z80" s="142" cm="1">
        <f t="array" ref="Z80">IF(ISERROR(_xlfn.XLOOKUP(Z$5,'QB_Funds Analysis raw'!$B$5:$AC$5, _xlfn.XLOOKUP($A80,'QB_Funds Analysis raw'!$A$6:$A$104,'QB_Funds Analysis raw'!$B$6:$AC$104))),0,(_xlfn.XLOOKUP(Z$5,'QB_Funds Analysis raw'!$B$5:$AC$5, _xlfn.XLOOKUP($A80,'QB_Funds Analysis raw'!$A$6:$A$104,'QB_Funds Analysis raw'!$B$6:$AC$104))))</f>
        <v>0</v>
      </c>
      <c r="AA80" s="142" cm="1">
        <f t="array" ref="AA80">IF(ISERROR(_xlfn.XLOOKUP(AA$5,'QB_Funds Analysis raw'!$B$5:$AC$5, _xlfn.XLOOKUP($A80,'QB_Funds Analysis raw'!$A$6:$A$104,'QB_Funds Analysis raw'!$B$6:$AC$104))),0,(_xlfn.XLOOKUP(AA$5,'QB_Funds Analysis raw'!$B$5:$AC$5, _xlfn.XLOOKUP($A80,'QB_Funds Analysis raw'!$A$6:$A$104,'QB_Funds Analysis raw'!$B$6:$AC$104))))</f>
        <v>0</v>
      </c>
      <c r="AB80" s="142" cm="1">
        <f t="array" ref="AB80">IF(ISERROR(_xlfn.XLOOKUP(AB$5,'QB_Funds Analysis raw'!$B$5:$AC$5, _xlfn.XLOOKUP($A80,'QB_Funds Analysis raw'!$A$6:$A$104,'QB_Funds Analysis raw'!$B$6:$AC$104))),0,(_xlfn.XLOOKUP(AB$5,'QB_Funds Analysis raw'!$B$5:$AC$5, _xlfn.XLOOKUP($A80,'QB_Funds Analysis raw'!$A$6:$A$104,'QB_Funds Analysis raw'!$B$6:$AC$104))))</f>
        <v>972.64</v>
      </c>
      <c r="AC80" s="142" cm="1">
        <f t="array" ref="AC80">IF(ISERROR(_xlfn.XLOOKUP(AC$5,'QB_Funds Analysis raw'!$B$5:$AC$5, _xlfn.XLOOKUP($A80,'QB_Funds Analysis raw'!$A$6:$A$104,'QB_Funds Analysis raw'!$B$6:$AC$104))),0,(_xlfn.XLOOKUP(AC$5,'QB_Funds Analysis raw'!$B$5:$AC$5, _xlfn.XLOOKUP($A80,'QB_Funds Analysis raw'!$A$6:$A$104,'QB_Funds Analysis raw'!$B$6:$AC$104))))</f>
        <v>972.64</v>
      </c>
      <c r="AD80" s="167">
        <f t="shared" si="13"/>
        <v>972.64</v>
      </c>
      <c r="AE80" s="167">
        <f t="shared" si="22"/>
        <v>0</v>
      </c>
    </row>
    <row r="81" spans="1:31" ht="20.25" customHeight="1" x14ac:dyDescent="0.25">
      <c r="A81" s="2" t="s">
        <v>80</v>
      </c>
      <c r="B81" s="142" cm="1">
        <f t="array" ref="B81">IF(ISERROR(_xlfn.XLOOKUP(B$5,'QB_Funds Analysis raw'!$B$5:$AC$5, _xlfn.XLOOKUP($A81,'QB_Funds Analysis raw'!$A$6:$A$104,'QB_Funds Analysis raw'!$B$6:$AC$104))),0,(_xlfn.XLOOKUP(B$5,'QB_Funds Analysis raw'!$B$5:$AC$5, _xlfn.XLOOKUP($A81,'QB_Funds Analysis raw'!$A$6:$A$104,'QB_Funds Analysis raw'!$B$6:$AC$104))))</f>
        <v>0</v>
      </c>
      <c r="C81" s="142" cm="1">
        <f t="array" ref="C81">IF(ISERROR(_xlfn.XLOOKUP(C$5,'QB_Funds Analysis raw'!$B$5:$AC$5, _xlfn.XLOOKUP($A81,'QB_Funds Analysis raw'!$A$6:$A$104,'QB_Funds Analysis raw'!$B$6:$AC$104))),0,(_xlfn.XLOOKUP(C$5,'QB_Funds Analysis raw'!$B$5:$AC$5, _xlfn.XLOOKUP($A81,'QB_Funds Analysis raw'!$A$6:$A$104,'QB_Funds Analysis raw'!$B$6:$AC$104))))</f>
        <v>0</v>
      </c>
      <c r="D81" s="252" cm="1">
        <f t="array" ref="D81">IF(ISERROR(_xlfn.XLOOKUP(D$5,'QB_Funds Analysis raw'!$B$5:$AC$5, _xlfn.XLOOKUP($A81,'QB_Funds Analysis raw'!$A$6:$A$104,'QB_Funds Analysis raw'!$B$6:$AC$104))),0,(_xlfn.XLOOKUP(D$5,'QB_Funds Analysis raw'!$B$5:$AC$5, _xlfn.XLOOKUP($A81,'QB_Funds Analysis raw'!$A$6:$A$104,'QB_Funds Analysis raw'!$B$6:$AC$104))))</f>
        <v>0</v>
      </c>
      <c r="E81" s="142" cm="1">
        <f t="array" ref="E81">IF(ISERROR(_xlfn.XLOOKUP(E$5,'QB_Funds Analysis raw'!$B$5:$AC$5, _xlfn.XLOOKUP($A81,'QB_Funds Analysis raw'!$A$6:$A$104,'QB_Funds Analysis raw'!$B$6:$AC$104))),0,(_xlfn.XLOOKUP(E$5,'QB_Funds Analysis raw'!$B$5:$AC$5, _xlfn.XLOOKUP($A81,'QB_Funds Analysis raw'!$A$6:$A$104,'QB_Funds Analysis raw'!$B$6:$AC$104))))</f>
        <v>0</v>
      </c>
      <c r="F81" s="142" cm="1">
        <f t="array" ref="F81">IF(ISERROR(_xlfn.XLOOKUP(F$5,'QB_Funds Analysis raw'!$B$5:$AC$5, _xlfn.XLOOKUP($A81,'QB_Funds Analysis raw'!$A$6:$A$104,'QB_Funds Analysis raw'!$B$6:$AC$104))),0,(_xlfn.XLOOKUP(F$5,'QB_Funds Analysis raw'!$B$5:$AC$5, _xlfn.XLOOKUP($A81,'QB_Funds Analysis raw'!$A$6:$A$104,'QB_Funds Analysis raw'!$B$6:$AC$104))))</f>
        <v>0</v>
      </c>
      <c r="G81" s="142" cm="1">
        <f t="array" ref="G81">IF(ISERROR(_xlfn.XLOOKUP(G$5,'QB_Funds Analysis raw'!$B$5:$AC$5, _xlfn.XLOOKUP($A81,'QB_Funds Analysis raw'!$A$6:$A$104,'QB_Funds Analysis raw'!$B$6:$AC$104))),0,(_xlfn.XLOOKUP(G$5,'QB_Funds Analysis raw'!$B$5:$AC$5, _xlfn.XLOOKUP($A81,'QB_Funds Analysis raw'!$A$6:$A$104,'QB_Funds Analysis raw'!$B$6:$AC$104))))</f>
        <v>0</v>
      </c>
      <c r="H81" s="142" cm="1">
        <f t="array" ref="H81">IF(ISERROR(_xlfn.XLOOKUP(H$5,'QB_Funds Analysis raw'!$B$5:$AC$5, _xlfn.XLOOKUP($A81,'QB_Funds Analysis raw'!$A$6:$A$104,'QB_Funds Analysis raw'!$B$6:$AC$104))),0,(_xlfn.XLOOKUP(H$5,'QB_Funds Analysis raw'!$B$5:$AC$5, _xlfn.XLOOKUP($A81,'QB_Funds Analysis raw'!$A$6:$A$104,'QB_Funds Analysis raw'!$B$6:$AC$104))))</f>
        <v>0</v>
      </c>
      <c r="I81" s="142" cm="1">
        <f t="array" ref="I81">IF(ISERROR(_xlfn.XLOOKUP(I$5,'QB_Funds Analysis raw'!$B$5:$AC$5, _xlfn.XLOOKUP($A81,'QB_Funds Analysis raw'!$A$6:$A$104,'QB_Funds Analysis raw'!$B$6:$AC$104))),0,(_xlfn.XLOOKUP(I$5,'QB_Funds Analysis raw'!$B$5:$AC$5, _xlfn.XLOOKUP($A81,'QB_Funds Analysis raw'!$A$6:$A$104,'QB_Funds Analysis raw'!$B$6:$AC$104))))</f>
        <v>0</v>
      </c>
      <c r="J81" s="142" cm="1">
        <f t="array" ref="J81">IF(ISERROR(_xlfn.XLOOKUP(J$5,'QB_Funds Analysis raw'!$B$5:$AC$5, _xlfn.XLOOKUP($A81,'QB_Funds Analysis raw'!$A$6:$A$104,'QB_Funds Analysis raw'!$B$6:$AC$104))),0,(_xlfn.XLOOKUP(J$5,'QB_Funds Analysis raw'!$B$5:$AC$5, _xlfn.XLOOKUP($A81,'QB_Funds Analysis raw'!$A$6:$A$104,'QB_Funds Analysis raw'!$B$6:$AC$104))))</f>
        <v>0</v>
      </c>
      <c r="K81" s="252" cm="1">
        <f t="array" ref="K81">IF(ISERROR(_xlfn.XLOOKUP(K$5,'QB_Funds Analysis raw'!$B$5:$AC$5, _xlfn.XLOOKUP($A81,'QB_Funds Analysis raw'!$A$6:$A$104,'QB_Funds Analysis raw'!$B$6:$AC$104))),0,(_xlfn.XLOOKUP(K$5,'QB_Funds Analysis raw'!$B$5:$AC$5, _xlfn.XLOOKUP($A81,'QB_Funds Analysis raw'!$A$6:$A$104,'QB_Funds Analysis raw'!$B$6:$AC$104))))</f>
        <v>0</v>
      </c>
      <c r="L81" s="142" cm="1">
        <f t="array" ref="L81">IF(ISERROR(_xlfn.XLOOKUP(L$5,'QB_Funds Analysis raw'!$B$5:$AC$5, _xlfn.XLOOKUP($A81,'QB_Funds Analysis raw'!$A$6:$A$104,'QB_Funds Analysis raw'!$B$6:$AC$104))),0,(_xlfn.XLOOKUP(L$5,'QB_Funds Analysis raw'!$B$5:$AC$5, _xlfn.XLOOKUP($A81,'QB_Funds Analysis raw'!$A$6:$A$104,'QB_Funds Analysis raw'!$B$6:$AC$104))))</f>
        <v>0</v>
      </c>
      <c r="M81" s="142" cm="1">
        <f t="array" ref="M81">IF(ISERROR(_xlfn.XLOOKUP(M$5,'QB_Funds Analysis raw'!$B$5:$AC$5, _xlfn.XLOOKUP($A81,'QB_Funds Analysis raw'!$A$6:$A$104,'QB_Funds Analysis raw'!$B$6:$AC$104))),0,(_xlfn.XLOOKUP(M$5,'QB_Funds Analysis raw'!$B$5:$AC$5, _xlfn.XLOOKUP($A81,'QB_Funds Analysis raw'!$A$6:$A$104,'QB_Funds Analysis raw'!$B$6:$AC$104))))</f>
        <v>0</v>
      </c>
      <c r="N81" s="252" cm="1">
        <f t="array" ref="N81">IF(ISERROR(_xlfn.XLOOKUP(N$5,'QB_Funds Analysis raw'!$B$5:$AC$5, _xlfn.XLOOKUP($A81,'QB_Funds Analysis raw'!$A$6:$A$104,'QB_Funds Analysis raw'!$B$6:$AC$104))),0,(_xlfn.XLOOKUP(N$5,'QB_Funds Analysis raw'!$B$5:$AC$5, _xlfn.XLOOKUP($A81,'QB_Funds Analysis raw'!$A$6:$A$104,'QB_Funds Analysis raw'!$B$6:$AC$104))))</f>
        <v>0</v>
      </c>
      <c r="O81" s="252" cm="1">
        <f t="array" ref="O81">IF(ISERROR(_xlfn.XLOOKUP(O$5,'QB_Funds Analysis raw'!$B$5:$AC$5, _xlfn.XLOOKUP($A81,'QB_Funds Analysis raw'!$A$6:$A$104,'QB_Funds Analysis raw'!$B$6:$AC$104))),0,(_xlfn.XLOOKUP(O$5,'QB_Funds Analysis raw'!$B$5:$AC$5, _xlfn.XLOOKUP($A81,'QB_Funds Analysis raw'!$A$6:$A$104,'QB_Funds Analysis raw'!$B$6:$AC$104))))</f>
        <v>0</v>
      </c>
      <c r="P81" s="142" cm="1">
        <f t="array" ref="P81">IF(ISERROR(_xlfn.XLOOKUP(P$5,'QB_Funds Analysis raw'!$B$5:$AC$5, _xlfn.XLOOKUP($A81,'QB_Funds Analysis raw'!$A$6:$A$104,'QB_Funds Analysis raw'!$B$6:$AC$104))),0,(_xlfn.XLOOKUP(P$5,'QB_Funds Analysis raw'!$B$5:$AC$5, _xlfn.XLOOKUP($A81,'QB_Funds Analysis raw'!$A$6:$A$104,'QB_Funds Analysis raw'!$B$6:$AC$104))))</f>
        <v>0</v>
      </c>
      <c r="Q81" s="247" cm="1">
        <f t="array" ref="Q81">IF(ISERROR(_xlfn.XLOOKUP(Q$5,'QB_Funds Analysis raw'!$B$5:$AC$5, _xlfn.XLOOKUP($A81,'QB_Funds Analysis raw'!$A$6:$A$104,'QB_Funds Analysis raw'!$B$6:$AC$104))),0,(_xlfn.XLOOKUP(Q$5,'QB_Funds Analysis raw'!$B$5:$AC$5, _xlfn.XLOOKUP($A81,'QB_Funds Analysis raw'!$A$6:$A$104,'QB_Funds Analysis raw'!$B$6:$AC$104))))</f>
        <v>0</v>
      </c>
      <c r="R81" s="142" cm="1">
        <f t="array" ref="R81">IF(ISERROR(_xlfn.XLOOKUP(R$5,'QB_Funds Analysis raw'!$B$5:$AC$5, _xlfn.XLOOKUP($A81,'QB_Funds Analysis raw'!$A$6:$A$104,'QB_Funds Analysis raw'!$B$6:$AC$104))),0,(_xlfn.XLOOKUP(R$5,'QB_Funds Analysis raw'!$B$5:$AC$5, _xlfn.XLOOKUP($A81,'QB_Funds Analysis raw'!$A$6:$A$104,'QB_Funds Analysis raw'!$B$6:$AC$104))))</f>
        <v>0</v>
      </c>
      <c r="S81" s="142" cm="1">
        <f t="array" ref="S81">IF(ISERROR(_xlfn.XLOOKUP(S$5,'QB_Funds Analysis raw'!$B$5:$AC$5, _xlfn.XLOOKUP($A81,'QB_Funds Analysis raw'!$A$6:$A$104,'QB_Funds Analysis raw'!$B$6:$AC$104))),0,(_xlfn.XLOOKUP(S$5,'QB_Funds Analysis raw'!$B$5:$AC$5, _xlfn.XLOOKUP($A81,'QB_Funds Analysis raw'!$A$6:$A$104,'QB_Funds Analysis raw'!$B$6:$AC$104))))</f>
        <v>0</v>
      </c>
      <c r="T81" s="142" cm="1">
        <f t="array" ref="T81">IF(ISERROR(_xlfn.XLOOKUP(T$5,'QB_Funds Analysis raw'!$B$5:$AC$5, _xlfn.XLOOKUP($A81,'QB_Funds Analysis raw'!$A$6:$A$104,'QB_Funds Analysis raw'!$B$6:$AC$104))),0,(_xlfn.XLOOKUP(T$5,'QB_Funds Analysis raw'!$B$5:$AC$5, _xlfn.XLOOKUP($A81,'QB_Funds Analysis raw'!$A$6:$A$104,'QB_Funds Analysis raw'!$B$6:$AC$104))))</f>
        <v>0</v>
      </c>
      <c r="U81" s="142" cm="1">
        <f t="array" ref="U81">IF(ISERROR(_xlfn.XLOOKUP(U$5,'QB_Funds Analysis raw'!$B$5:$AC$5, _xlfn.XLOOKUP($A81,'QB_Funds Analysis raw'!$A$6:$A$104,'QB_Funds Analysis raw'!$B$6:$AC$104))),0,(_xlfn.XLOOKUP(U$5,'QB_Funds Analysis raw'!$B$5:$AC$5, _xlfn.XLOOKUP($A81,'QB_Funds Analysis raw'!$A$6:$A$104,'QB_Funds Analysis raw'!$B$6:$AC$104))))</f>
        <v>0</v>
      </c>
      <c r="V81" s="142" cm="1">
        <f t="array" ref="V81">IF(ISERROR(_xlfn.XLOOKUP(V$5,'QB_Funds Analysis raw'!$B$5:$AC$5, _xlfn.XLOOKUP($A81,'QB_Funds Analysis raw'!$A$6:$A$104,'QB_Funds Analysis raw'!$B$6:$AC$104))),0,(_xlfn.XLOOKUP(V$5,'QB_Funds Analysis raw'!$B$5:$AC$5, _xlfn.XLOOKUP($A81,'QB_Funds Analysis raw'!$A$6:$A$104,'QB_Funds Analysis raw'!$B$6:$AC$104))))</f>
        <v>0</v>
      </c>
      <c r="W81" s="142" cm="1">
        <f t="array" ref="W81">IF(ISERROR(_xlfn.XLOOKUP(W$5,'QB_Funds Analysis raw'!$B$5:$AC$5, _xlfn.XLOOKUP($A81,'QB_Funds Analysis raw'!$A$6:$A$104,'QB_Funds Analysis raw'!$B$6:$AC$104))),0,(_xlfn.XLOOKUP(W$5,'QB_Funds Analysis raw'!$B$5:$AC$5, _xlfn.XLOOKUP($A81,'QB_Funds Analysis raw'!$A$6:$A$104,'QB_Funds Analysis raw'!$B$6:$AC$104))))</f>
        <v>0</v>
      </c>
      <c r="X81" s="142" cm="1">
        <f t="array" ref="X81">IF(ISERROR(_xlfn.XLOOKUP(X$5,'QB_Funds Analysis raw'!$B$5:$AC$5, _xlfn.XLOOKUP($A81,'QB_Funds Analysis raw'!$A$6:$A$104,'QB_Funds Analysis raw'!$B$6:$AC$104))),0,(_xlfn.XLOOKUP(X$5,'QB_Funds Analysis raw'!$B$5:$AC$5, _xlfn.XLOOKUP($A81,'QB_Funds Analysis raw'!$A$6:$A$104,'QB_Funds Analysis raw'!$B$6:$AC$104))))</f>
        <v>0</v>
      </c>
      <c r="Y81" s="142" cm="1">
        <f t="array" ref="Y81">IF(ISERROR(_xlfn.XLOOKUP(Y$5,'QB_Funds Analysis raw'!$B$5:$AC$5, _xlfn.XLOOKUP($A81,'QB_Funds Analysis raw'!$A$6:$A$104,'QB_Funds Analysis raw'!$B$6:$AC$104))),0,(_xlfn.XLOOKUP(Y$5,'QB_Funds Analysis raw'!$B$5:$AC$5, _xlfn.XLOOKUP($A81,'QB_Funds Analysis raw'!$A$6:$A$104,'QB_Funds Analysis raw'!$B$6:$AC$104))))</f>
        <v>0</v>
      </c>
      <c r="Z81" s="142" cm="1">
        <f t="array" ref="Z81">IF(ISERROR(_xlfn.XLOOKUP(Z$5,'QB_Funds Analysis raw'!$B$5:$AC$5, _xlfn.XLOOKUP($A81,'QB_Funds Analysis raw'!$A$6:$A$104,'QB_Funds Analysis raw'!$B$6:$AC$104))),0,(_xlfn.XLOOKUP(Z$5,'QB_Funds Analysis raw'!$B$5:$AC$5, _xlfn.XLOOKUP($A81,'QB_Funds Analysis raw'!$A$6:$A$104,'QB_Funds Analysis raw'!$B$6:$AC$104))))</f>
        <v>0</v>
      </c>
      <c r="AA81" s="142" cm="1">
        <f t="array" ref="AA81">IF(ISERROR(_xlfn.XLOOKUP(AA$5,'QB_Funds Analysis raw'!$B$5:$AC$5, _xlfn.XLOOKUP($A81,'QB_Funds Analysis raw'!$A$6:$A$104,'QB_Funds Analysis raw'!$B$6:$AC$104))),0,(_xlfn.XLOOKUP(AA$5,'QB_Funds Analysis raw'!$B$5:$AC$5, _xlfn.XLOOKUP($A81,'QB_Funds Analysis raw'!$A$6:$A$104,'QB_Funds Analysis raw'!$B$6:$AC$104))))</f>
        <v>0</v>
      </c>
      <c r="AB81" s="142" cm="1">
        <f t="array" ref="AB81">IF(ISERROR(_xlfn.XLOOKUP(AB$5,'QB_Funds Analysis raw'!$B$5:$AC$5, _xlfn.XLOOKUP($A81,'QB_Funds Analysis raw'!$A$6:$A$104,'QB_Funds Analysis raw'!$B$6:$AC$104))),0,(_xlfn.XLOOKUP(AB$5,'QB_Funds Analysis raw'!$B$5:$AC$5, _xlfn.XLOOKUP($A81,'QB_Funds Analysis raw'!$A$6:$A$104,'QB_Funds Analysis raw'!$B$6:$AC$104))))</f>
        <v>445.68</v>
      </c>
      <c r="AC81" s="142" cm="1">
        <f t="array" ref="AC81">IF(ISERROR(_xlfn.XLOOKUP(AC$5,'QB_Funds Analysis raw'!$B$5:$AC$5, _xlfn.XLOOKUP($A81,'QB_Funds Analysis raw'!$A$6:$A$104,'QB_Funds Analysis raw'!$B$6:$AC$104))),0,(_xlfn.XLOOKUP(AC$5,'QB_Funds Analysis raw'!$B$5:$AC$5, _xlfn.XLOOKUP($A81,'QB_Funds Analysis raw'!$A$6:$A$104,'QB_Funds Analysis raw'!$B$6:$AC$104))))</f>
        <v>445.68</v>
      </c>
      <c r="AD81" s="167">
        <f t="shared" si="13"/>
        <v>445.68</v>
      </c>
      <c r="AE81" s="167">
        <f t="shared" si="22"/>
        <v>0</v>
      </c>
    </row>
    <row r="82" spans="1:31" ht="20.25" customHeight="1" x14ac:dyDescent="0.25">
      <c r="A82" s="2" t="s">
        <v>81</v>
      </c>
      <c r="B82" s="142" cm="1">
        <f t="array" ref="B82">IF(ISERROR(_xlfn.XLOOKUP(B$5,'QB_Funds Analysis raw'!$B$5:$AC$5, _xlfn.XLOOKUP($A82,'QB_Funds Analysis raw'!$A$6:$A$104,'QB_Funds Analysis raw'!$B$6:$AC$104))),0,(_xlfn.XLOOKUP(B$5,'QB_Funds Analysis raw'!$B$5:$AC$5, _xlfn.XLOOKUP($A82,'QB_Funds Analysis raw'!$A$6:$A$104,'QB_Funds Analysis raw'!$B$6:$AC$104))))</f>
        <v>0</v>
      </c>
      <c r="C82" s="142" cm="1">
        <f t="array" ref="C82">IF(ISERROR(_xlfn.XLOOKUP(C$5,'QB_Funds Analysis raw'!$B$5:$AC$5, _xlfn.XLOOKUP($A82,'QB_Funds Analysis raw'!$A$6:$A$104,'QB_Funds Analysis raw'!$B$6:$AC$104))),0,(_xlfn.XLOOKUP(C$5,'QB_Funds Analysis raw'!$B$5:$AC$5, _xlfn.XLOOKUP($A82,'QB_Funds Analysis raw'!$A$6:$A$104,'QB_Funds Analysis raw'!$B$6:$AC$104))))</f>
        <v>0</v>
      </c>
      <c r="D82" s="252" cm="1">
        <f t="array" ref="D82">IF(ISERROR(_xlfn.XLOOKUP(D$5,'QB_Funds Analysis raw'!$B$5:$AC$5, _xlfn.XLOOKUP($A82,'QB_Funds Analysis raw'!$A$6:$A$104,'QB_Funds Analysis raw'!$B$6:$AC$104))),0,(_xlfn.XLOOKUP(D$5,'QB_Funds Analysis raw'!$B$5:$AC$5, _xlfn.XLOOKUP($A82,'QB_Funds Analysis raw'!$A$6:$A$104,'QB_Funds Analysis raw'!$B$6:$AC$104))))</f>
        <v>0</v>
      </c>
      <c r="E82" s="142" cm="1">
        <f t="array" ref="E82">IF(ISERROR(_xlfn.XLOOKUP(E$5,'QB_Funds Analysis raw'!$B$5:$AC$5, _xlfn.XLOOKUP($A82,'QB_Funds Analysis raw'!$A$6:$A$104,'QB_Funds Analysis raw'!$B$6:$AC$104))),0,(_xlfn.XLOOKUP(E$5,'QB_Funds Analysis raw'!$B$5:$AC$5, _xlfn.XLOOKUP($A82,'QB_Funds Analysis raw'!$A$6:$A$104,'QB_Funds Analysis raw'!$B$6:$AC$104))))</f>
        <v>0</v>
      </c>
      <c r="F82" s="142" cm="1">
        <f t="array" ref="F82">IF(ISERROR(_xlfn.XLOOKUP(F$5,'QB_Funds Analysis raw'!$B$5:$AC$5, _xlfn.XLOOKUP($A82,'QB_Funds Analysis raw'!$A$6:$A$104,'QB_Funds Analysis raw'!$B$6:$AC$104))),0,(_xlfn.XLOOKUP(F$5,'QB_Funds Analysis raw'!$B$5:$AC$5, _xlfn.XLOOKUP($A82,'QB_Funds Analysis raw'!$A$6:$A$104,'QB_Funds Analysis raw'!$B$6:$AC$104))))</f>
        <v>0</v>
      </c>
      <c r="G82" s="142" cm="1">
        <f t="array" ref="G82">IF(ISERROR(_xlfn.XLOOKUP(G$5,'QB_Funds Analysis raw'!$B$5:$AC$5, _xlfn.XLOOKUP($A82,'QB_Funds Analysis raw'!$A$6:$A$104,'QB_Funds Analysis raw'!$B$6:$AC$104))),0,(_xlfn.XLOOKUP(G$5,'QB_Funds Analysis raw'!$B$5:$AC$5, _xlfn.XLOOKUP($A82,'QB_Funds Analysis raw'!$A$6:$A$104,'QB_Funds Analysis raw'!$B$6:$AC$104))))</f>
        <v>0</v>
      </c>
      <c r="H82" s="142" cm="1">
        <f t="array" ref="H82">IF(ISERROR(_xlfn.XLOOKUP(H$5,'QB_Funds Analysis raw'!$B$5:$AC$5, _xlfn.XLOOKUP($A82,'QB_Funds Analysis raw'!$A$6:$A$104,'QB_Funds Analysis raw'!$B$6:$AC$104))),0,(_xlfn.XLOOKUP(H$5,'QB_Funds Analysis raw'!$B$5:$AC$5, _xlfn.XLOOKUP($A82,'QB_Funds Analysis raw'!$A$6:$A$104,'QB_Funds Analysis raw'!$B$6:$AC$104))))</f>
        <v>0</v>
      </c>
      <c r="I82" s="142" cm="1">
        <f t="array" ref="I82">IF(ISERROR(_xlfn.XLOOKUP(I$5,'QB_Funds Analysis raw'!$B$5:$AC$5, _xlfn.XLOOKUP($A82,'QB_Funds Analysis raw'!$A$6:$A$104,'QB_Funds Analysis raw'!$B$6:$AC$104))),0,(_xlfn.XLOOKUP(I$5,'QB_Funds Analysis raw'!$B$5:$AC$5, _xlfn.XLOOKUP($A82,'QB_Funds Analysis raw'!$A$6:$A$104,'QB_Funds Analysis raw'!$B$6:$AC$104))))</f>
        <v>0</v>
      </c>
      <c r="J82" s="142" cm="1">
        <f t="array" ref="J82">IF(ISERROR(_xlfn.XLOOKUP(J$5,'QB_Funds Analysis raw'!$B$5:$AC$5, _xlfn.XLOOKUP($A82,'QB_Funds Analysis raw'!$A$6:$A$104,'QB_Funds Analysis raw'!$B$6:$AC$104))),0,(_xlfn.XLOOKUP(J$5,'QB_Funds Analysis raw'!$B$5:$AC$5, _xlfn.XLOOKUP($A82,'QB_Funds Analysis raw'!$A$6:$A$104,'QB_Funds Analysis raw'!$B$6:$AC$104))))</f>
        <v>0</v>
      </c>
      <c r="K82" s="252" cm="1">
        <f t="array" ref="K82">IF(ISERROR(_xlfn.XLOOKUP(K$5,'QB_Funds Analysis raw'!$B$5:$AC$5, _xlfn.XLOOKUP($A82,'QB_Funds Analysis raw'!$A$6:$A$104,'QB_Funds Analysis raw'!$B$6:$AC$104))),0,(_xlfn.XLOOKUP(K$5,'QB_Funds Analysis raw'!$B$5:$AC$5, _xlfn.XLOOKUP($A82,'QB_Funds Analysis raw'!$A$6:$A$104,'QB_Funds Analysis raw'!$B$6:$AC$104))))</f>
        <v>0</v>
      </c>
      <c r="L82" s="142" cm="1">
        <f t="array" ref="L82">IF(ISERROR(_xlfn.XLOOKUP(L$5,'QB_Funds Analysis raw'!$B$5:$AC$5, _xlfn.XLOOKUP($A82,'QB_Funds Analysis raw'!$A$6:$A$104,'QB_Funds Analysis raw'!$B$6:$AC$104))),0,(_xlfn.XLOOKUP(L$5,'QB_Funds Analysis raw'!$B$5:$AC$5, _xlfn.XLOOKUP($A82,'QB_Funds Analysis raw'!$A$6:$A$104,'QB_Funds Analysis raw'!$B$6:$AC$104))))</f>
        <v>0</v>
      </c>
      <c r="M82" s="142" cm="1">
        <f t="array" ref="M82">IF(ISERROR(_xlfn.XLOOKUP(M$5,'QB_Funds Analysis raw'!$B$5:$AC$5, _xlfn.XLOOKUP($A82,'QB_Funds Analysis raw'!$A$6:$A$104,'QB_Funds Analysis raw'!$B$6:$AC$104))),0,(_xlfn.XLOOKUP(M$5,'QB_Funds Analysis raw'!$B$5:$AC$5, _xlfn.XLOOKUP($A82,'QB_Funds Analysis raw'!$A$6:$A$104,'QB_Funds Analysis raw'!$B$6:$AC$104))))</f>
        <v>0</v>
      </c>
      <c r="N82" s="252" cm="1">
        <f t="array" ref="N82">IF(ISERROR(_xlfn.XLOOKUP(N$5,'QB_Funds Analysis raw'!$B$5:$AC$5, _xlfn.XLOOKUP($A82,'QB_Funds Analysis raw'!$A$6:$A$104,'QB_Funds Analysis raw'!$B$6:$AC$104))),0,(_xlfn.XLOOKUP(N$5,'QB_Funds Analysis raw'!$B$5:$AC$5, _xlfn.XLOOKUP($A82,'QB_Funds Analysis raw'!$A$6:$A$104,'QB_Funds Analysis raw'!$B$6:$AC$104))))</f>
        <v>0</v>
      </c>
      <c r="O82" s="252" cm="1">
        <f t="array" ref="O82">IF(ISERROR(_xlfn.XLOOKUP(O$5,'QB_Funds Analysis raw'!$B$5:$AC$5, _xlfn.XLOOKUP($A82,'QB_Funds Analysis raw'!$A$6:$A$104,'QB_Funds Analysis raw'!$B$6:$AC$104))),0,(_xlfn.XLOOKUP(O$5,'QB_Funds Analysis raw'!$B$5:$AC$5, _xlfn.XLOOKUP($A82,'QB_Funds Analysis raw'!$A$6:$A$104,'QB_Funds Analysis raw'!$B$6:$AC$104))))</f>
        <v>0</v>
      </c>
      <c r="P82" s="142" cm="1">
        <f t="array" ref="P82">IF(ISERROR(_xlfn.XLOOKUP(P$5,'QB_Funds Analysis raw'!$B$5:$AC$5, _xlfn.XLOOKUP($A82,'QB_Funds Analysis raw'!$A$6:$A$104,'QB_Funds Analysis raw'!$B$6:$AC$104))),0,(_xlfn.XLOOKUP(P$5,'QB_Funds Analysis raw'!$B$5:$AC$5, _xlfn.XLOOKUP($A82,'QB_Funds Analysis raw'!$A$6:$A$104,'QB_Funds Analysis raw'!$B$6:$AC$104))))</f>
        <v>0</v>
      </c>
      <c r="Q82" s="247" cm="1">
        <f t="array" ref="Q82">IF(ISERROR(_xlfn.XLOOKUP(Q$5,'QB_Funds Analysis raw'!$B$5:$AC$5, _xlfn.XLOOKUP($A82,'QB_Funds Analysis raw'!$A$6:$A$104,'QB_Funds Analysis raw'!$B$6:$AC$104))),0,(_xlfn.XLOOKUP(Q$5,'QB_Funds Analysis raw'!$B$5:$AC$5, _xlfn.XLOOKUP($A82,'QB_Funds Analysis raw'!$A$6:$A$104,'QB_Funds Analysis raw'!$B$6:$AC$104))))</f>
        <v>0</v>
      </c>
      <c r="R82" s="142" cm="1">
        <f t="array" ref="R82">IF(ISERROR(_xlfn.XLOOKUP(R$5,'QB_Funds Analysis raw'!$B$5:$AC$5, _xlfn.XLOOKUP($A82,'QB_Funds Analysis raw'!$A$6:$A$104,'QB_Funds Analysis raw'!$B$6:$AC$104))),0,(_xlfn.XLOOKUP(R$5,'QB_Funds Analysis raw'!$B$5:$AC$5, _xlfn.XLOOKUP($A82,'QB_Funds Analysis raw'!$A$6:$A$104,'QB_Funds Analysis raw'!$B$6:$AC$104))))</f>
        <v>0</v>
      </c>
      <c r="S82" s="142" cm="1">
        <f t="array" ref="S82">IF(ISERROR(_xlfn.XLOOKUP(S$5,'QB_Funds Analysis raw'!$B$5:$AC$5, _xlfn.XLOOKUP($A82,'QB_Funds Analysis raw'!$A$6:$A$104,'QB_Funds Analysis raw'!$B$6:$AC$104))),0,(_xlfn.XLOOKUP(S$5,'QB_Funds Analysis raw'!$B$5:$AC$5, _xlfn.XLOOKUP($A82,'QB_Funds Analysis raw'!$A$6:$A$104,'QB_Funds Analysis raw'!$B$6:$AC$104))))</f>
        <v>0</v>
      </c>
      <c r="T82" s="142" cm="1">
        <f t="array" ref="T82">IF(ISERROR(_xlfn.XLOOKUP(T$5,'QB_Funds Analysis raw'!$B$5:$AC$5, _xlfn.XLOOKUP($A82,'QB_Funds Analysis raw'!$A$6:$A$104,'QB_Funds Analysis raw'!$B$6:$AC$104))),0,(_xlfn.XLOOKUP(T$5,'QB_Funds Analysis raw'!$B$5:$AC$5, _xlfn.XLOOKUP($A82,'QB_Funds Analysis raw'!$A$6:$A$104,'QB_Funds Analysis raw'!$B$6:$AC$104))))</f>
        <v>0</v>
      </c>
      <c r="U82" s="142" cm="1">
        <f t="array" ref="U82">IF(ISERROR(_xlfn.XLOOKUP(U$5,'QB_Funds Analysis raw'!$B$5:$AC$5, _xlfn.XLOOKUP($A82,'QB_Funds Analysis raw'!$A$6:$A$104,'QB_Funds Analysis raw'!$B$6:$AC$104))),0,(_xlfn.XLOOKUP(U$5,'QB_Funds Analysis raw'!$B$5:$AC$5, _xlfn.XLOOKUP($A82,'QB_Funds Analysis raw'!$A$6:$A$104,'QB_Funds Analysis raw'!$B$6:$AC$104))))</f>
        <v>0</v>
      </c>
      <c r="V82" s="142" cm="1">
        <f t="array" ref="V82">IF(ISERROR(_xlfn.XLOOKUP(V$5,'QB_Funds Analysis raw'!$B$5:$AC$5, _xlfn.XLOOKUP($A82,'QB_Funds Analysis raw'!$A$6:$A$104,'QB_Funds Analysis raw'!$B$6:$AC$104))),0,(_xlfn.XLOOKUP(V$5,'QB_Funds Analysis raw'!$B$5:$AC$5, _xlfn.XLOOKUP($A82,'QB_Funds Analysis raw'!$A$6:$A$104,'QB_Funds Analysis raw'!$B$6:$AC$104))))</f>
        <v>0</v>
      </c>
      <c r="W82" s="142" cm="1">
        <f t="array" ref="W82">IF(ISERROR(_xlfn.XLOOKUP(W$5,'QB_Funds Analysis raw'!$B$5:$AC$5, _xlfn.XLOOKUP($A82,'QB_Funds Analysis raw'!$A$6:$A$104,'QB_Funds Analysis raw'!$B$6:$AC$104))),0,(_xlfn.XLOOKUP(W$5,'QB_Funds Analysis raw'!$B$5:$AC$5, _xlfn.XLOOKUP($A82,'QB_Funds Analysis raw'!$A$6:$A$104,'QB_Funds Analysis raw'!$B$6:$AC$104))))</f>
        <v>0</v>
      </c>
      <c r="X82" s="142" cm="1">
        <f t="array" ref="X82">IF(ISERROR(_xlfn.XLOOKUP(X$5,'QB_Funds Analysis raw'!$B$5:$AC$5, _xlfn.XLOOKUP($A82,'QB_Funds Analysis raw'!$A$6:$A$104,'QB_Funds Analysis raw'!$B$6:$AC$104))),0,(_xlfn.XLOOKUP(X$5,'QB_Funds Analysis raw'!$B$5:$AC$5, _xlfn.XLOOKUP($A82,'QB_Funds Analysis raw'!$A$6:$A$104,'QB_Funds Analysis raw'!$B$6:$AC$104))))</f>
        <v>0</v>
      </c>
      <c r="Y82" s="142" cm="1">
        <f t="array" ref="Y82">IF(ISERROR(_xlfn.XLOOKUP(Y$5,'QB_Funds Analysis raw'!$B$5:$AC$5, _xlfn.XLOOKUP($A82,'QB_Funds Analysis raw'!$A$6:$A$104,'QB_Funds Analysis raw'!$B$6:$AC$104))),0,(_xlfn.XLOOKUP(Y$5,'QB_Funds Analysis raw'!$B$5:$AC$5, _xlfn.XLOOKUP($A82,'QB_Funds Analysis raw'!$A$6:$A$104,'QB_Funds Analysis raw'!$B$6:$AC$104))))</f>
        <v>0</v>
      </c>
      <c r="Z82" s="142" cm="1">
        <f t="array" ref="Z82">IF(ISERROR(_xlfn.XLOOKUP(Z$5,'QB_Funds Analysis raw'!$B$5:$AC$5, _xlfn.XLOOKUP($A82,'QB_Funds Analysis raw'!$A$6:$A$104,'QB_Funds Analysis raw'!$B$6:$AC$104))),0,(_xlfn.XLOOKUP(Z$5,'QB_Funds Analysis raw'!$B$5:$AC$5, _xlfn.XLOOKUP($A82,'QB_Funds Analysis raw'!$A$6:$A$104,'QB_Funds Analysis raw'!$B$6:$AC$104))))</f>
        <v>0</v>
      </c>
      <c r="AA82" s="142" cm="1">
        <f t="array" ref="AA82">IF(ISERROR(_xlfn.XLOOKUP(AA$5,'QB_Funds Analysis raw'!$B$5:$AC$5, _xlfn.XLOOKUP($A82,'QB_Funds Analysis raw'!$A$6:$A$104,'QB_Funds Analysis raw'!$B$6:$AC$104))),0,(_xlfn.XLOOKUP(AA$5,'QB_Funds Analysis raw'!$B$5:$AC$5, _xlfn.XLOOKUP($A82,'QB_Funds Analysis raw'!$A$6:$A$104,'QB_Funds Analysis raw'!$B$6:$AC$104))))</f>
        <v>0</v>
      </c>
      <c r="AB82" s="142" cm="1">
        <f t="array" ref="AB82">IF(ISERROR(_xlfn.XLOOKUP(AB$5,'QB_Funds Analysis raw'!$B$5:$AC$5, _xlfn.XLOOKUP($A82,'QB_Funds Analysis raw'!$A$6:$A$104,'QB_Funds Analysis raw'!$B$6:$AC$104))),0,(_xlfn.XLOOKUP(AB$5,'QB_Funds Analysis raw'!$B$5:$AC$5, _xlfn.XLOOKUP($A82,'QB_Funds Analysis raw'!$A$6:$A$104,'QB_Funds Analysis raw'!$B$6:$AC$104))))</f>
        <v>0</v>
      </c>
      <c r="AC82" s="142" cm="1">
        <f t="array" ref="AC82">IF(ISERROR(_xlfn.XLOOKUP(AC$5,'QB_Funds Analysis raw'!$B$5:$AC$5, _xlfn.XLOOKUP($A82,'QB_Funds Analysis raw'!$A$6:$A$104,'QB_Funds Analysis raw'!$B$6:$AC$104))),0,(_xlfn.XLOOKUP(AC$5,'QB_Funds Analysis raw'!$B$5:$AC$5, _xlfn.XLOOKUP($A82,'QB_Funds Analysis raw'!$A$6:$A$104,'QB_Funds Analysis raw'!$B$6:$AC$104))))</f>
        <v>0</v>
      </c>
      <c r="AD82" s="167">
        <f t="shared" si="13"/>
        <v>0</v>
      </c>
      <c r="AE82" s="167">
        <f t="shared" si="22"/>
        <v>0</v>
      </c>
    </row>
    <row r="83" spans="1:31" ht="20.25" customHeight="1" x14ac:dyDescent="0.25">
      <c r="A83" s="2" t="s">
        <v>82</v>
      </c>
      <c r="B83" s="142" cm="1">
        <f t="array" ref="B83">IF(ISERROR(_xlfn.XLOOKUP(B$5,'QB_Funds Analysis raw'!$B$5:$AC$5, _xlfn.XLOOKUP($A83,'QB_Funds Analysis raw'!$A$6:$A$104,'QB_Funds Analysis raw'!$B$6:$AC$104))),0,(_xlfn.XLOOKUP(B$5,'QB_Funds Analysis raw'!$B$5:$AC$5, _xlfn.XLOOKUP($A83,'QB_Funds Analysis raw'!$A$6:$A$104,'QB_Funds Analysis raw'!$B$6:$AC$104))))</f>
        <v>0</v>
      </c>
      <c r="C83" s="142" cm="1">
        <f t="array" ref="C83">IF(ISERROR(_xlfn.XLOOKUP(C$5,'QB_Funds Analysis raw'!$B$5:$AC$5, _xlfn.XLOOKUP($A83,'QB_Funds Analysis raw'!$A$6:$A$104,'QB_Funds Analysis raw'!$B$6:$AC$104))),0,(_xlfn.XLOOKUP(C$5,'QB_Funds Analysis raw'!$B$5:$AC$5, _xlfn.XLOOKUP($A83,'QB_Funds Analysis raw'!$A$6:$A$104,'QB_Funds Analysis raw'!$B$6:$AC$104))))</f>
        <v>0</v>
      </c>
      <c r="D83" s="252" cm="1">
        <f t="array" ref="D83">IF(ISERROR(_xlfn.XLOOKUP(D$5,'QB_Funds Analysis raw'!$B$5:$AC$5, _xlfn.XLOOKUP($A83,'QB_Funds Analysis raw'!$A$6:$A$104,'QB_Funds Analysis raw'!$B$6:$AC$104))),0,(_xlfn.XLOOKUP(D$5,'QB_Funds Analysis raw'!$B$5:$AC$5, _xlfn.XLOOKUP($A83,'QB_Funds Analysis raw'!$A$6:$A$104,'QB_Funds Analysis raw'!$B$6:$AC$104))))</f>
        <v>0</v>
      </c>
      <c r="E83" s="142" cm="1">
        <f t="array" ref="E83">IF(ISERROR(_xlfn.XLOOKUP(E$5,'QB_Funds Analysis raw'!$B$5:$AC$5, _xlfn.XLOOKUP($A83,'QB_Funds Analysis raw'!$A$6:$A$104,'QB_Funds Analysis raw'!$B$6:$AC$104))),0,(_xlfn.XLOOKUP(E$5,'QB_Funds Analysis raw'!$B$5:$AC$5, _xlfn.XLOOKUP($A83,'QB_Funds Analysis raw'!$A$6:$A$104,'QB_Funds Analysis raw'!$B$6:$AC$104))))</f>
        <v>0</v>
      </c>
      <c r="F83" s="142" cm="1">
        <f t="array" ref="F83">IF(ISERROR(_xlfn.XLOOKUP(F$5,'QB_Funds Analysis raw'!$B$5:$AC$5, _xlfn.XLOOKUP($A83,'QB_Funds Analysis raw'!$A$6:$A$104,'QB_Funds Analysis raw'!$B$6:$AC$104))),0,(_xlfn.XLOOKUP(F$5,'QB_Funds Analysis raw'!$B$5:$AC$5, _xlfn.XLOOKUP($A83,'QB_Funds Analysis raw'!$A$6:$A$104,'QB_Funds Analysis raw'!$B$6:$AC$104))))</f>
        <v>0</v>
      </c>
      <c r="G83" s="142" cm="1">
        <f t="array" ref="G83">IF(ISERROR(_xlfn.XLOOKUP(G$5,'QB_Funds Analysis raw'!$B$5:$AC$5, _xlfn.XLOOKUP($A83,'QB_Funds Analysis raw'!$A$6:$A$104,'QB_Funds Analysis raw'!$B$6:$AC$104))),0,(_xlfn.XLOOKUP(G$5,'QB_Funds Analysis raw'!$B$5:$AC$5, _xlfn.XLOOKUP($A83,'QB_Funds Analysis raw'!$A$6:$A$104,'QB_Funds Analysis raw'!$B$6:$AC$104))))</f>
        <v>0</v>
      </c>
      <c r="H83" s="142" cm="1">
        <f t="array" ref="H83">IF(ISERROR(_xlfn.XLOOKUP(H$5,'QB_Funds Analysis raw'!$B$5:$AC$5, _xlfn.XLOOKUP($A83,'QB_Funds Analysis raw'!$A$6:$A$104,'QB_Funds Analysis raw'!$B$6:$AC$104))),0,(_xlfn.XLOOKUP(H$5,'QB_Funds Analysis raw'!$B$5:$AC$5, _xlfn.XLOOKUP($A83,'QB_Funds Analysis raw'!$A$6:$A$104,'QB_Funds Analysis raw'!$B$6:$AC$104))))</f>
        <v>0</v>
      </c>
      <c r="I83" s="142" cm="1">
        <f t="array" ref="I83">IF(ISERROR(_xlfn.XLOOKUP(I$5,'QB_Funds Analysis raw'!$B$5:$AC$5, _xlfn.XLOOKUP($A83,'QB_Funds Analysis raw'!$A$6:$A$104,'QB_Funds Analysis raw'!$B$6:$AC$104))),0,(_xlfn.XLOOKUP(I$5,'QB_Funds Analysis raw'!$B$5:$AC$5, _xlfn.XLOOKUP($A83,'QB_Funds Analysis raw'!$A$6:$A$104,'QB_Funds Analysis raw'!$B$6:$AC$104))))</f>
        <v>0</v>
      </c>
      <c r="J83" s="142" cm="1">
        <f t="array" ref="J83">IF(ISERROR(_xlfn.XLOOKUP(J$5,'QB_Funds Analysis raw'!$B$5:$AC$5, _xlfn.XLOOKUP($A83,'QB_Funds Analysis raw'!$A$6:$A$104,'QB_Funds Analysis raw'!$B$6:$AC$104))),0,(_xlfn.XLOOKUP(J$5,'QB_Funds Analysis raw'!$B$5:$AC$5, _xlfn.XLOOKUP($A83,'QB_Funds Analysis raw'!$A$6:$A$104,'QB_Funds Analysis raw'!$B$6:$AC$104))))</f>
        <v>0</v>
      </c>
      <c r="K83" s="252" cm="1">
        <f t="array" ref="K83">IF(ISERROR(_xlfn.XLOOKUP(K$5,'QB_Funds Analysis raw'!$B$5:$AC$5, _xlfn.XLOOKUP($A83,'QB_Funds Analysis raw'!$A$6:$A$104,'QB_Funds Analysis raw'!$B$6:$AC$104))),0,(_xlfn.XLOOKUP(K$5,'QB_Funds Analysis raw'!$B$5:$AC$5, _xlfn.XLOOKUP($A83,'QB_Funds Analysis raw'!$A$6:$A$104,'QB_Funds Analysis raw'!$B$6:$AC$104))))</f>
        <v>0</v>
      </c>
      <c r="L83" s="142" cm="1">
        <f t="array" ref="L83">IF(ISERROR(_xlfn.XLOOKUP(L$5,'QB_Funds Analysis raw'!$B$5:$AC$5, _xlfn.XLOOKUP($A83,'QB_Funds Analysis raw'!$A$6:$A$104,'QB_Funds Analysis raw'!$B$6:$AC$104))),0,(_xlfn.XLOOKUP(L$5,'QB_Funds Analysis raw'!$B$5:$AC$5, _xlfn.XLOOKUP($A83,'QB_Funds Analysis raw'!$A$6:$A$104,'QB_Funds Analysis raw'!$B$6:$AC$104))))</f>
        <v>0</v>
      </c>
      <c r="M83" s="142" cm="1">
        <f t="array" ref="M83">IF(ISERROR(_xlfn.XLOOKUP(M$5,'QB_Funds Analysis raw'!$B$5:$AC$5, _xlfn.XLOOKUP($A83,'QB_Funds Analysis raw'!$A$6:$A$104,'QB_Funds Analysis raw'!$B$6:$AC$104))),0,(_xlfn.XLOOKUP(M$5,'QB_Funds Analysis raw'!$B$5:$AC$5, _xlfn.XLOOKUP($A83,'QB_Funds Analysis raw'!$A$6:$A$104,'QB_Funds Analysis raw'!$B$6:$AC$104))))</f>
        <v>0</v>
      </c>
      <c r="N83" s="252" cm="1">
        <f t="array" ref="N83">IF(ISERROR(_xlfn.XLOOKUP(N$5,'QB_Funds Analysis raw'!$B$5:$AC$5, _xlfn.XLOOKUP($A83,'QB_Funds Analysis raw'!$A$6:$A$104,'QB_Funds Analysis raw'!$B$6:$AC$104))),0,(_xlfn.XLOOKUP(N$5,'QB_Funds Analysis raw'!$B$5:$AC$5, _xlfn.XLOOKUP($A83,'QB_Funds Analysis raw'!$A$6:$A$104,'QB_Funds Analysis raw'!$B$6:$AC$104))))</f>
        <v>0</v>
      </c>
      <c r="O83" s="252" cm="1">
        <f t="array" ref="O83">IF(ISERROR(_xlfn.XLOOKUP(O$5,'QB_Funds Analysis raw'!$B$5:$AC$5, _xlfn.XLOOKUP($A83,'QB_Funds Analysis raw'!$A$6:$A$104,'QB_Funds Analysis raw'!$B$6:$AC$104))),0,(_xlfn.XLOOKUP(O$5,'QB_Funds Analysis raw'!$B$5:$AC$5, _xlfn.XLOOKUP($A83,'QB_Funds Analysis raw'!$A$6:$A$104,'QB_Funds Analysis raw'!$B$6:$AC$104))))</f>
        <v>0</v>
      </c>
      <c r="P83" s="142" cm="1">
        <f t="array" ref="P83">IF(ISERROR(_xlfn.XLOOKUP(P$5,'QB_Funds Analysis raw'!$B$5:$AC$5, _xlfn.XLOOKUP($A83,'QB_Funds Analysis raw'!$A$6:$A$104,'QB_Funds Analysis raw'!$B$6:$AC$104))),0,(_xlfn.XLOOKUP(P$5,'QB_Funds Analysis raw'!$B$5:$AC$5, _xlfn.XLOOKUP($A83,'QB_Funds Analysis raw'!$A$6:$A$104,'QB_Funds Analysis raw'!$B$6:$AC$104))))</f>
        <v>0</v>
      </c>
      <c r="Q83" s="247" cm="1">
        <f t="array" ref="Q83">IF(ISERROR(_xlfn.XLOOKUP(Q$5,'QB_Funds Analysis raw'!$B$5:$AC$5, _xlfn.XLOOKUP($A83,'QB_Funds Analysis raw'!$A$6:$A$104,'QB_Funds Analysis raw'!$B$6:$AC$104))),0,(_xlfn.XLOOKUP(Q$5,'QB_Funds Analysis raw'!$B$5:$AC$5, _xlfn.XLOOKUP($A83,'QB_Funds Analysis raw'!$A$6:$A$104,'QB_Funds Analysis raw'!$B$6:$AC$104))))</f>
        <v>0</v>
      </c>
      <c r="R83" s="142" cm="1">
        <f t="array" ref="R83">IF(ISERROR(_xlfn.XLOOKUP(R$5,'QB_Funds Analysis raw'!$B$5:$AC$5, _xlfn.XLOOKUP($A83,'QB_Funds Analysis raw'!$A$6:$A$104,'QB_Funds Analysis raw'!$B$6:$AC$104))),0,(_xlfn.XLOOKUP(R$5,'QB_Funds Analysis raw'!$B$5:$AC$5, _xlfn.XLOOKUP($A83,'QB_Funds Analysis raw'!$A$6:$A$104,'QB_Funds Analysis raw'!$B$6:$AC$104))))</f>
        <v>0</v>
      </c>
      <c r="S83" s="142" cm="1">
        <f t="array" ref="S83">IF(ISERROR(_xlfn.XLOOKUP(S$5,'QB_Funds Analysis raw'!$B$5:$AC$5, _xlfn.XLOOKUP($A83,'QB_Funds Analysis raw'!$A$6:$A$104,'QB_Funds Analysis raw'!$B$6:$AC$104))),0,(_xlfn.XLOOKUP(S$5,'QB_Funds Analysis raw'!$B$5:$AC$5, _xlfn.XLOOKUP($A83,'QB_Funds Analysis raw'!$A$6:$A$104,'QB_Funds Analysis raw'!$B$6:$AC$104))))</f>
        <v>0</v>
      </c>
      <c r="T83" s="142" cm="1">
        <f t="array" ref="T83">IF(ISERROR(_xlfn.XLOOKUP(T$5,'QB_Funds Analysis raw'!$B$5:$AC$5, _xlfn.XLOOKUP($A83,'QB_Funds Analysis raw'!$A$6:$A$104,'QB_Funds Analysis raw'!$B$6:$AC$104))),0,(_xlfn.XLOOKUP(T$5,'QB_Funds Analysis raw'!$B$5:$AC$5, _xlfn.XLOOKUP($A83,'QB_Funds Analysis raw'!$A$6:$A$104,'QB_Funds Analysis raw'!$B$6:$AC$104))))</f>
        <v>0</v>
      </c>
      <c r="U83" s="142" cm="1">
        <f t="array" ref="U83">IF(ISERROR(_xlfn.XLOOKUP(U$5,'QB_Funds Analysis raw'!$B$5:$AC$5, _xlfn.XLOOKUP($A83,'QB_Funds Analysis raw'!$A$6:$A$104,'QB_Funds Analysis raw'!$B$6:$AC$104))),0,(_xlfn.XLOOKUP(U$5,'QB_Funds Analysis raw'!$B$5:$AC$5, _xlfn.XLOOKUP($A83,'QB_Funds Analysis raw'!$A$6:$A$104,'QB_Funds Analysis raw'!$B$6:$AC$104))))</f>
        <v>0</v>
      </c>
      <c r="V83" s="142" cm="1">
        <f t="array" ref="V83">IF(ISERROR(_xlfn.XLOOKUP(V$5,'QB_Funds Analysis raw'!$B$5:$AC$5, _xlfn.XLOOKUP($A83,'QB_Funds Analysis raw'!$A$6:$A$104,'QB_Funds Analysis raw'!$B$6:$AC$104))),0,(_xlfn.XLOOKUP(V$5,'QB_Funds Analysis raw'!$B$5:$AC$5, _xlfn.XLOOKUP($A83,'QB_Funds Analysis raw'!$A$6:$A$104,'QB_Funds Analysis raw'!$B$6:$AC$104))))</f>
        <v>0</v>
      </c>
      <c r="W83" s="142" cm="1">
        <f t="array" ref="W83">IF(ISERROR(_xlfn.XLOOKUP(W$5,'QB_Funds Analysis raw'!$B$5:$AC$5, _xlfn.XLOOKUP($A83,'QB_Funds Analysis raw'!$A$6:$A$104,'QB_Funds Analysis raw'!$B$6:$AC$104))),0,(_xlfn.XLOOKUP(W$5,'QB_Funds Analysis raw'!$B$5:$AC$5, _xlfn.XLOOKUP($A83,'QB_Funds Analysis raw'!$A$6:$A$104,'QB_Funds Analysis raw'!$B$6:$AC$104))))</f>
        <v>0</v>
      </c>
      <c r="X83" s="142" cm="1">
        <f t="array" ref="X83">IF(ISERROR(_xlfn.XLOOKUP(X$5,'QB_Funds Analysis raw'!$B$5:$AC$5, _xlfn.XLOOKUP($A83,'QB_Funds Analysis raw'!$A$6:$A$104,'QB_Funds Analysis raw'!$B$6:$AC$104))),0,(_xlfn.XLOOKUP(X$5,'QB_Funds Analysis raw'!$B$5:$AC$5, _xlfn.XLOOKUP($A83,'QB_Funds Analysis raw'!$A$6:$A$104,'QB_Funds Analysis raw'!$B$6:$AC$104))))</f>
        <v>0</v>
      </c>
      <c r="Y83" s="142" cm="1">
        <f t="array" ref="Y83">IF(ISERROR(_xlfn.XLOOKUP(Y$5,'QB_Funds Analysis raw'!$B$5:$AC$5, _xlfn.XLOOKUP($A83,'QB_Funds Analysis raw'!$A$6:$A$104,'QB_Funds Analysis raw'!$B$6:$AC$104))),0,(_xlfn.XLOOKUP(Y$5,'QB_Funds Analysis raw'!$B$5:$AC$5, _xlfn.XLOOKUP($A83,'QB_Funds Analysis raw'!$A$6:$A$104,'QB_Funds Analysis raw'!$B$6:$AC$104))))</f>
        <v>0</v>
      </c>
      <c r="Z83" s="142" cm="1">
        <f t="array" ref="Z83">IF(ISERROR(_xlfn.XLOOKUP(Z$5,'QB_Funds Analysis raw'!$B$5:$AC$5, _xlfn.XLOOKUP($A83,'QB_Funds Analysis raw'!$A$6:$A$104,'QB_Funds Analysis raw'!$B$6:$AC$104))),0,(_xlfn.XLOOKUP(Z$5,'QB_Funds Analysis raw'!$B$5:$AC$5, _xlfn.XLOOKUP($A83,'QB_Funds Analysis raw'!$A$6:$A$104,'QB_Funds Analysis raw'!$B$6:$AC$104))))</f>
        <v>0</v>
      </c>
      <c r="AA83" s="142" cm="1">
        <f t="array" ref="AA83">IF(ISERROR(_xlfn.XLOOKUP(AA$5,'QB_Funds Analysis raw'!$B$5:$AC$5, _xlfn.XLOOKUP($A83,'QB_Funds Analysis raw'!$A$6:$A$104,'QB_Funds Analysis raw'!$B$6:$AC$104))),0,(_xlfn.XLOOKUP(AA$5,'QB_Funds Analysis raw'!$B$5:$AC$5, _xlfn.XLOOKUP($A83,'QB_Funds Analysis raw'!$A$6:$A$104,'QB_Funds Analysis raw'!$B$6:$AC$104))))</f>
        <v>0</v>
      </c>
      <c r="AB83" s="142" cm="1">
        <f t="array" ref="AB83">IF(ISERROR(_xlfn.XLOOKUP(AB$5,'QB_Funds Analysis raw'!$B$5:$AC$5, _xlfn.XLOOKUP($A83,'QB_Funds Analysis raw'!$A$6:$A$104,'QB_Funds Analysis raw'!$B$6:$AC$104))),0,(_xlfn.XLOOKUP(AB$5,'QB_Funds Analysis raw'!$B$5:$AC$5, _xlfn.XLOOKUP($A83,'QB_Funds Analysis raw'!$A$6:$A$104,'QB_Funds Analysis raw'!$B$6:$AC$104))))</f>
        <v>160</v>
      </c>
      <c r="AC83" s="142" cm="1">
        <f t="array" ref="AC83">IF(ISERROR(_xlfn.XLOOKUP(AC$5,'QB_Funds Analysis raw'!$B$5:$AC$5, _xlfn.XLOOKUP($A83,'QB_Funds Analysis raw'!$A$6:$A$104,'QB_Funds Analysis raw'!$B$6:$AC$104))),0,(_xlfn.XLOOKUP(AC$5,'QB_Funds Analysis raw'!$B$5:$AC$5, _xlfn.XLOOKUP($A83,'QB_Funds Analysis raw'!$A$6:$A$104,'QB_Funds Analysis raw'!$B$6:$AC$104))))</f>
        <v>160</v>
      </c>
      <c r="AD83" s="167">
        <f t="shared" si="13"/>
        <v>160</v>
      </c>
      <c r="AE83" s="167">
        <f t="shared" si="22"/>
        <v>0</v>
      </c>
    </row>
    <row r="84" spans="1:31" ht="20.25" customHeight="1" x14ac:dyDescent="0.25">
      <c r="A84" s="134" t="s">
        <v>83</v>
      </c>
      <c r="B84" s="151">
        <f>B82+B83</f>
        <v>0</v>
      </c>
      <c r="C84" s="151">
        <f t="shared" ref="C84:AC84" si="23">C82+C83</f>
        <v>0</v>
      </c>
      <c r="D84" s="253">
        <f t="shared" si="23"/>
        <v>0</v>
      </c>
      <c r="E84" s="151">
        <f t="shared" si="23"/>
        <v>0</v>
      </c>
      <c r="F84" s="151">
        <f t="shared" si="23"/>
        <v>0</v>
      </c>
      <c r="G84" s="151">
        <f t="shared" si="23"/>
        <v>0</v>
      </c>
      <c r="H84" s="151">
        <f t="shared" si="23"/>
        <v>0</v>
      </c>
      <c r="I84" s="151">
        <f t="shared" si="23"/>
        <v>0</v>
      </c>
      <c r="J84" s="151">
        <f t="shared" si="23"/>
        <v>0</v>
      </c>
      <c r="K84" s="253">
        <f t="shared" si="23"/>
        <v>0</v>
      </c>
      <c r="L84" s="151">
        <f t="shared" si="23"/>
        <v>0</v>
      </c>
      <c r="M84" s="151">
        <f t="shared" si="23"/>
        <v>0</v>
      </c>
      <c r="N84" s="253">
        <f t="shared" si="23"/>
        <v>0</v>
      </c>
      <c r="O84" s="253">
        <f t="shared" si="23"/>
        <v>0</v>
      </c>
      <c r="P84" s="151">
        <f t="shared" si="23"/>
        <v>0</v>
      </c>
      <c r="Q84" s="244">
        <f t="shared" si="23"/>
        <v>0</v>
      </c>
      <c r="R84" s="151">
        <f t="shared" si="23"/>
        <v>0</v>
      </c>
      <c r="S84" s="151">
        <f t="shared" si="23"/>
        <v>0</v>
      </c>
      <c r="T84" s="151">
        <f t="shared" si="23"/>
        <v>0</v>
      </c>
      <c r="U84" s="151">
        <f t="shared" si="23"/>
        <v>0</v>
      </c>
      <c r="V84" s="151">
        <f t="shared" si="23"/>
        <v>0</v>
      </c>
      <c r="W84" s="151">
        <f t="shared" si="23"/>
        <v>0</v>
      </c>
      <c r="X84" s="151">
        <f t="shared" si="23"/>
        <v>0</v>
      </c>
      <c r="Y84" s="151">
        <f t="shared" si="23"/>
        <v>0</v>
      </c>
      <c r="Z84" s="151">
        <f t="shared" si="23"/>
        <v>0</v>
      </c>
      <c r="AA84" s="151">
        <f t="shared" si="23"/>
        <v>0</v>
      </c>
      <c r="AB84" s="151">
        <f t="shared" si="23"/>
        <v>160</v>
      </c>
      <c r="AC84" s="151">
        <f t="shared" si="23"/>
        <v>160</v>
      </c>
      <c r="AD84" s="167">
        <f t="shared" si="13"/>
        <v>160</v>
      </c>
      <c r="AE84" s="167">
        <f t="shared" si="22"/>
        <v>0</v>
      </c>
    </row>
    <row r="85" spans="1:31" ht="20.25" customHeight="1" x14ac:dyDescent="0.25">
      <c r="A85" s="2" t="s">
        <v>84</v>
      </c>
      <c r="B85" s="142" cm="1">
        <f t="array" ref="B85">IF(ISERROR(_xlfn.XLOOKUP(B$5,'QB_Funds Analysis raw'!$B$5:$AC$5, _xlfn.XLOOKUP($A85,'QB_Funds Analysis raw'!$A$6:$A$104,'QB_Funds Analysis raw'!$B$6:$AC$104))),0,(_xlfn.XLOOKUP(B$5,'QB_Funds Analysis raw'!$B$5:$AC$5, _xlfn.XLOOKUP($A85,'QB_Funds Analysis raw'!$A$6:$A$104,'QB_Funds Analysis raw'!$B$6:$AC$104))))</f>
        <v>0</v>
      </c>
      <c r="C85" s="142" cm="1">
        <f t="array" ref="C85">IF(ISERROR(_xlfn.XLOOKUP(C$5,'QB_Funds Analysis raw'!$B$5:$AC$5, _xlfn.XLOOKUP($A85,'QB_Funds Analysis raw'!$A$6:$A$104,'QB_Funds Analysis raw'!$B$6:$AC$104))),0,(_xlfn.XLOOKUP(C$5,'QB_Funds Analysis raw'!$B$5:$AC$5, _xlfn.XLOOKUP($A85,'QB_Funds Analysis raw'!$A$6:$A$104,'QB_Funds Analysis raw'!$B$6:$AC$104))))</f>
        <v>0</v>
      </c>
      <c r="D85" s="252" cm="1">
        <f t="array" ref="D85">IF(ISERROR(_xlfn.XLOOKUP(D$5,'QB_Funds Analysis raw'!$B$5:$AC$5, _xlfn.XLOOKUP($A85,'QB_Funds Analysis raw'!$A$6:$A$104,'QB_Funds Analysis raw'!$B$6:$AC$104))),0,(_xlfn.XLOOKUP(D$5,'QB_Funds Analysis raw'!$B$5:$AC$5, _xlfn.XLOOKUP($A85,'QB_Funds Analysis raw'!$A$6:$A$104,'QB_Funds Analysis raw'!$B$6:$AC$104))))</f>
        <v>0</v>
      </c>
      <c r="E85" s="142" cm="1">
        <f t="array" ref="E85">IF(ISERROR(_xlfn.XLOOKUP(E$5,'QB_Funds Analysis raw'!$B$5:$AC$5, _xlfn.XLOOKUP($A85,'QB_Funds Analysis raw'!$A$6:$A$104,'QB_Funds Analysis raw'!$B$6:$AC$104))),0,(_xlfn.XLOOKUP(E$5,'QB_Funds Analysis raw'!$B$5:$AC$5, _xlfn.XLOOKUP($A85,'QB_Funds Analysis raw'!$A$6:$A$104,'QB_Funds Analysis raw'!$B$6:$AC$104))))</f>
        <v>0</v>
      </c>
      <c r="F85" s="142" cm="1">
        <f t="array" ref="F85">IF(ISERROR(_xlfn.XLOOKUP(F$5,'QB_Funds Analysis raw'!$B$5:$AC$5, _xlfn.XLOOKUP($A85,'QB_Funds Analysis raw'!$A$6:$A$104,'QB_Funds Analysis raw'!$B$6:$AC$104))),0,(_xlfn.XLOOKUP(F$5,'QB_Funds Analysis raw'!$B$5:$AC$5, _xlfn.XLOOKUP($A85,'QB_Funds Analysis raw'!$A$6:$A$104,'QB_Funds Analysis raw'!$B$6:$AC$104))))</f>
        <v>0</v>
      </c>
      <c r="G85" s="142" cm="1">
        <f t="array" ref="G85">IF(ISERROR(_xlfn.XLOOKUP(G$5,'QB_Funds Analysis raw'!$B$5:$AC$5, _xlfn.XLOOKUP($A85,'QB_Funds Analysis raw'!$A$6:$A$104,'QB_Funds Analysis raw'!$B$6:$AC$104))),0,(_xlfn.XLOOKUP(G$5,'QB_Funds Analysis raw'!$B$5:$AC$5, _xlfn.XLOOKUP($A85,'QB_Funds Analysis raw'!$A$6:$A$104,'QB_Funds Analysis raw'!$B$6:$AC$104))))</f>
        <v>0</v>
      </c>
      <c r="H85" s="142" cm="1">
        <f t="array" ref="H85">IF(ISERROR(_xlfn.XLOOKUP(H$5,'QB_Funds Analysis raw'!$B$5:$AC$5, _xlfn.XLOOKUP($A85,'QB_Funds Analysis raw'!$A$6:$A$104,'QB_Funds Analysis raw'!$B$6:$AC$104))),0,(_xlfn.XLOOKUP(H$5,'QB_Funds Analysis raw'!$B$5:$AC$5, _xlfn.XLOOKUP($A85,'QB_Funds Analysis raw'!$A$6:$A$104,'QB_Funds Analysis raw'!$B$6:$AC$104))))</f>
        <v>88.02</v>
      </c>
      <c r="I85" s="142" cm="1">
        <f t="array" ref="I85">IF(ISERROR(_xlfn.XLOOKUP(I$5,'QB_Funds Analysis raw'!$B$5:$AC$5, _xlfn.XLOOKUP($A85,'QB_Funds Analysis raw'!$A$6:$A$104,'QB_Funds Analysis raw'!$B$6:$AC$104))),0,(_xlfn.XLOOKUP(I$5,'QB_Funds Analysis raw'!$B$5:$AC$5, _xlfn.XLOOKUP($A85,'QB_Funds Analysis raw'!$A$6:$A$104,'QB_Funds Analysis raw'!$B$6:$AC$104))))</f>
        <v>0</v>
      </c>
      <c r="J85" s="142" cm="1">
        <f t="array" ref="J85">IF(ISERROR(_xlfn.XLOOKUP(J$5,'QB_Funds Analysis raw'!$B$5:$AC$5, _xlfn.XLOOKUP($A85,'QB_Funds Analysis raw'!$A$6:$A$104,'QB_Funds Analysis raw'!$B$6:$AC$104))),0,(_xlfn.XLOOKUP(J$5,'QB_Funds Analysis raw'!$B$5:$AC$5, _xlfn.XLOOKUP($A85,'QB_Funds Analysis raw'!$A$6:$A$104,'QB_Funds Analysis raw'!$B$6:$AC$104))))</f>
        <v>0</v>
      </c>
      <c r="K85" s="252" cm="1">
        <f t="array" ref="K85">IF(ISERROR(_xlfn.XLOOKUP(K$5,'QB_Funds Analysis raw'!$B$5:$AC$5, _xlfn.XLOOKUP($A85,'QB_Funds Analysis raw'!$A$6:$A$104,'QB_Funds Analysis raw'!$B$6:$AC$104))),0,(_xlfn.XLOOKUP(K$5,'QB_Funds Analysis raw'!$B$5:$AC$5, _xlfn.XLOOKUP($A85,'QB_Funds Analysis raw'!$A$6:$A$104,'QB_Funds Analysis raw'!$B$6:$AC$104))))</f>
        <v>0</v>
      </c>
      <c r="L85" s="142" cm="1">
        <f t="array" ref="L85">IF(ISERROR(_xlfn.XLOOKUP(L$5,'QB_Funds Analysis raw'!$B$5:$AC$5, _xlfn.XLOOKUP($A85,'QB_Funds Analysis raw'!$A$6:$A$104,'QB_Funds Analysis raw'!$B$6:$AC$104))),0,(_xlfn.XLOOKUP(L$5,'QB_Funds Analysis raw'!$B$5:$AC$5, _xlfn.XLOOKUP($A85,'QB_Funds Analysis raw'!$A$6:$A$104,'QB_Funds Analysis raw'!$B$6:$AC$104))))</f>
        <v>0</v>
      </c>
      <c r="M85" s="142" cm="1">
        <f t="array" ref="M85">IF(ISERROR(_xlfn.XLOOKUP(M$5,'QB_Funds Analysis raw'!$B$5:$AC$5, _xlfn.XLOOKUP($A85,'QB_Funds Analysis raw'!$A$6:$A$104,'QB_Funds Analysis raw'!$B$6:$AC$104))),0,(_xlfn.XLOOKUP(M$5,'QB_Funds Analysis raw'!$B$5:$AC$5, _xlfn.XLOOKUP($A85,'QB_Funds Analysis raw'!$A$6:$A$104,'QB_Funds Analysis raw'!$B$6:$AC$104))))</f>
        <v>0</v>
      </c>
      <c r="N85" s="252" cm="1">
        <f t="array" ref="N85">IF(ISERROR(_xlfn.XLOOKUP(N$5,'QB_Funds Analysis raw'!$B$5:$AC$5, _xlfn.XLOOKUP($A85,'QB_Funds Analysis raw'!$A$6:$A$104,'QB_Funds Analysis raw'!$B$6:$AC$104))),0,(_xlfn.XLOOKUP(N$5,'QB_Funds Analysis raw'!$B$5:$AC$5, _xlfn.XLOOKUP($A85,'QB_Funds Analysis raw'!$A$6:$A$104,'QB_Funds Analysis raw'!$B$6:$AC$104))))</f>
        <v>0</v>
      </c>
      <c r="O85" s="252" cm="1">
        <f t="array" ref="O85">IF(ISERROR(_xlfn.XLOOKUP(O$5,'QB_Funds Analysis raw'!$B$5:$AC$5, _xlfn.XLOOKUP($A85,'QB_Funds Analysis raw'!$A$6:$A$104,'QB_Funds Analysis raw'!$B$6:$AC$104))),0,(_xlfn.XLOOKUP(O$5,'QB_Funds Analysis raw'!$B$5:$AC$5, _xlfn.XLOOKUP($A85,'QB_Funds Analysis raw'!$A$6:$A$104,'QB_Funds Analysis raw'!$B$6:$AC$104))))</f>
        <v>0</v>
      </c>
      <c r="P85" s="142" cm="1">
        <f t="array" ref="P85">IF(ISERROR(_xlfn.XLOOKUP(P$5,'QB_Funds Analysis raw'!$B$5:$AC$5, _xlfn.XLOOKUP($A85,'QB_Funds Analysis raw'!$A$6:$A$104,'QB_Funds Analysis raw'!$B$6:$AC$104))),0,(_xlfn.XLOOKUP(P$5,'QB_Funds Analysis raw'!$B$5:$AC$5, _xlfn.XLOOKUP($A85,'QB_Funds Analysis raw'!$A$6:$A$104,'QB_Funds Analysis raw'!$B$6:$AC$104))))</f>
        <v>0</v>
      </c>
      <c r="Q85" s="247" cm="1">
        <f t="array" ref="Q85">IF(ISERROR(_xlfn.XLOOKUP(Q$5,'QB_Funds Analysis raw'!$B$5:$AC$5, _xlfn.XLOOKUP($A85,'QB_Funds Analysis raw'!$A$6:$A$104,'QB_Funds Analysis raw'!$B$6:$AC$104))),0,(_xlfn.XLOOKUP(Q$5,'QB_Funds Analysis raw'!$B$5:$AC$5, _xlfn.XLOOKUP($A85,'QB_Funds Analysis raw'!$A$6:$A$104,'QB_Funds Analysis raw'!$B$6:$AC$104))))</f>
        <v>0</v>
      </c>
      <c r="R85" s="142" cm="1">
        <f t="array" ref="R85">IF(ISERROR(_xlfn.XLOOKUP(R$5,'QB_Funds Analysis raw'!$B$5:$AC$5, _xlfn.XLOOKUP($A85,'QB_Funds Analysis raw'!$A$6:$A$104,'QB_Funds Analysis raw'!$B$6:$AC$104))),0,(_xlfn.XLOOKUP(R$5,'QB_Funds Analysis raw'!$B$5:$AC$5, _xlfn.XLOOKUP($A85,'QB_Funds Analysis raw'!$A$6:$A$104,'QB_Funds Analysis raw'!$B$6:$AC$104))))</f>
        <v>0</v>
      </c>
      <c r="S85" s="142" cm="1">
        <f t="array" ref="S85">IF(ISERROR(_xlfn.XLOOKUP(S$5,'QB_Funds Analysis raw'!$B$5:$AC$5, _xlfn.XLOOKUP($A85,'QB_Funds Analysis raw'!$A$6:$A$104,'QB_Funds Analysis raw'!$B$6:$AC$104))),0,(_xlfn.XLOOKUP(S$5,'QB_Funds Analysis raw'!$B$5:$AC$5, _xlfn.XLOOKUP($A85,'QB_Funds Analysis raw'!$A$6:$A$104,'QB_Funds Analysis raw'!$B$6:$AC$104))))</f>
        <v>0</v>
      </c>
      <c r="T85" s="142" cm="1">
        <f t="array" ref="T85">IF(ISERROR(_xlfn.XLOOKUP(T$5,'QB_Funds Analysis raw'!$B$5:$AC$5, _xlfn.XLOOKUP($A85,'QB_Funds Analysis raw'!$A$6:$A$104,'QB_Funds Analysis raw'!$B$6:$AC$104))),0,(_xlfn.XLOOKUP(T$5,'QB_Funds Analysis raw'!$B$5:$AC$5, _xlfn.XLOOKUP($A85,'QB_Funds Analysis raw'!$A$6:$A$104,'QB_Funds Analysis raw'!$B$6:$AC$104))))</f>
        <v>0</v>
      </c>
      <c r="U85" s="142" cm="1">
        <f t="array" ref="U85">IF(ISERROR(_xlfn.XLOOKUP(U$5,'QB_Funds Analysis raw'!$B$5:$AC$5, _xlfn.XLOOKUP($A85,'QB_Funds Analysis raw'!$A$6:$A$104,'QB_Funds Analysis raw'!$B$6:$AC$104))),0,(_xlfn.XLOOKUP(U$5,'QB_Funds Analysis raw'!$B$5:$AC$5, _xlfn.XLOOKUP($A85,'QB_Funds Analysis raw'!$A$6:$A$104,'QB_Funds Analysis raw'!$B$6:$AC$104))))</f>
        <v>0</v>
      </c>
      <c r="V85" s="142" cm="1">
        <f t="array" ref="V85">IF(ISERROR(_xlfn.XLOOKUP(V$5,'QB_Funds Analysis raw'!$B$5:$AC$5, _xlfn.XLOOKUP($A85,'QB_Funds Analysis raw'!$A$6:$A$104,'QB_Funds Analysis raw'!$B$6:$AC$104))),0,(_xlfn.XLOOKUP(V$5,'QB_Funds Analysis raw'!$B$5:$AC$5, _xlfn.XLOOKUP($A85,'QB_Funds Analysis raw'!$A$6:$A$104,'QB_Funds Analysis raw'!$B$6:$AC$104))))</f>
        <v>0</v>
      </c>
      <c r="W85" s="142" cm="1">
        <f t="array" ref="W85">IF(ISERROR(_xlfn.XLOOKUP(W$5,'QB_Funds Analysis raw'!$B$5:$AC$5, _xlfn.XLOOKUP($A85,'QB_Funds Analysis raw'!$A$6:$A$104,'QB_Funds Analysis raw'!$B$6:$AC$104))),0,(_xlfn.XLOOKUP(W$5,'QB_Funds Analysis raw'!$B$5:$AC$5, _xlfn.XLOOKUP($A85,'QB_Funds Analysis raw'!$A$6:$A$104,'QB_Funds Analysis raw'!$B$6:$AC$104))))</f>
        <v>0</v>
      </c>
      <c r="X85" s="142" cm="1">
        <f t="array" ref="X85">IF(ISERROR(_xlfn.XLOOKUP(X$5,'QB_Funds Analysis raw'!$B$5:$AC$5, _xlfn.XLOOKUP($A85,'QB_Funds Analysis raw'!$A$6:$A$104,'QB_Funds Analysis raw'!$B$6:$AC$104))),0,(_xlfn.XLOOKUP(X$5,'QB_Funds Analysis raw'!$B$5:$AC$5, _xlfn.XLOOKUP($A85,'QB_Funds Analysis raw'!$A$6:$A$104,'QB_Funds Analysis raw'!$B$6:$AC$104))))</f>
        <v>0</v>
      </c>
      <c r="Y85" s="142" cm="1">
        <f t="array" ref="Y85">IF(ISERROR(_xlfn.XLOOKUP(Y$5,'QB_Funds Analysis raw'!$B$5:$AC$5, _xlfn.XLOOKUP($A85,'QB_Funds Analysis raw'!$A$6:$A$104,'QB_Funds Analysis raw'!$B$6:$AC$104))),0,(_xlfn.XLOOKUP(Y$5,'QB_Funds Analysis raw'!$B$5:$AC$5, _xlfn.XLOOKUP($A85,'QB_Funds Analysis raw'!$A$6:$A$104,'QB_Funds Analysis raw'!$B$6:$AC$104))))</f>
        <v>0</v>
      </c>
      <c r="Z85" s="142" cm="1">
        <f t="array" ref="Z85">IF(ISERROR(_xlfn.XLOOKUP(Z$5,'QB_Funds Analysis raw'!$B$5:$AC$5, _xlfn.XLOOKUP($A85,'QB_Funds Analysis raw'!$A$6:$A$104,'QB_Funds Analysis raw'!$B$6:$AC$104))),0,(_xlfn.XLOOKUP(Z$5,'QB_Funds Analysis raw'!$B$5:$AC$5, _xlfn.XLOOKUP($A85,'QB_Funds Analysis raw'!$A$6:$A$104,'QB_Funds Analysis raw'!$B$6:$AC$104))))</f>
        <v>0</v>
      </c>
      <c r="AA85" s="142" cm="1">
        <f t="array" ref="AA85">IF(ISERROR(_xlfn.XLOOKUP(AA$5,'QB_Funds Analysis raw'!$B$5:$AC$5, _xlfn.XLOOKUP($A85,'QB_Funds Analysis raw'!$A$6:$A$104,'QB_Funds Analysis raw'!$B$6:$AC$104))),0,(_xlfn.XLOOKUP(AA$5,'QB_Funds Analysis raw'!$B$5:$AC$5, _xlfn.XLOOKUP($A85,'QB_Funds Analysis raw'!$A$6:$A$104,'QB_Funds Analysis raw'!$B$6:$AC$104))))</f>
        <v>0</v>
      </c>
      <c r="AB85" s="142" cm="1">
        <f t="array" ref="AB85">IF(ISERROR(_xlfn.XLOOKUP(AB$5,'QB_Funds Analysis raw'!$B$5:$AC$5, _xlfn.XLOOKUP($A85,'QB_Funds Analysis raw'!$A$6:$A$104,'QB_Funds Analysis raw'!$B$6:$AC$104))),0,(_xlfn.XLOOKUP(AB$5,'QB_Funds Analysis raw'!$B$5:$AC$5, _xlfn.XLOOKUP($A85,'QB_Funds Analysis raw'!$A$6:$A$104,'QB_Funds Analysis raw'!$B$6:$AC$104))))</f>
        <v>88.02</v>
      </c>
      <c r="AC85" s="142" cm="1">
        <f t="array" ref="AC85">IF(ISERROR(_xlfn.XLOOKUP(AC$5,'QB_Funds Analysis raw'!$B$5:$AC$5, _xlfn.XLOOKUP($A85,'QB_Funds Analysis raw'!$A$6:$A$104,'QB_Funds Analysis raw'!$B$6:$AC$104))),0,(_xlfn.XLOOKUP(AC$5,'QB_Funds Analysis raw'!$B$5:$AC$5, _xlfn.XLOOKUP($A85,'QB_Funds Analysis raw'!$A$6:$A$104,'QB_Funds Analysis raw'!$B$6:$AC$104))))</f>
        <v>88.02</v>
      </c>
      <c r="AD85" s="167">
        <f t="shared" si="13"/>
        <v>88.02</v>
      </c>
      <c r="AE85" s="167">
        <f t="shared" si="22"/>
        <v>0</v>
      </c>
    </row>
    <row r="86" spans="1:31" ht="20.25" customHeight="1" x14ac:dyDescent="0.25">
      <c r="A86" s="2" t="s">
        <v>467</v>
      </c>
      <c r="B86" s="142" cm="1">
        <f t="array" ref="B86">IF(ISERROR(_xlfn.XLOOKUP(B$5,'QB_Funds Analysis raw'!$B$5:$AC$5, _xlfn.XLOOKUP($A86,'QB_Funds Analysis raw'!$A$6:$A$104,'QB_Funds Analysis raw'!$B$6:$AC$104))),0,(_xlfn.XLOOKUP(B$5,'QB_Funds Analysis raw'!$B$5:$AC$5, _xlfn.XLOOKUP($A86,'QB_Funds Analysis raw'!$A$6:$A$104,'QB_Funds Analysis raw'!$B$6:$AC$104))))</f>
        <v>0</v>
      </c>
      <c r="C86" s="142" cm="1">
        <f t="array" ref="C86">IF(ISERROR(_xlfn.XLOOKUP(C$5,'QB_Funds Analysis raw'!$B$5:$AC$5, _xlfn.XLOOKUP($A86,'QB_Funds Analysis raw'!$A$6:$A$104,'QB_Funds Analysis raw'!$B$6:$AC$104))),0,(_xlfn.XLOOKUP(C$5,'QB_Funds Analysis raw'!$B$5:$AC$5, _xlfn.XLOOKUP($A86,'QB_Funds Analysis raw'!$A$6:$A$104,'QB_Funds Analysis raw'!$B$6:$AC$104))))</f>
        <v>0</v>
      </c>
      <c r="D86" s="252" cm="1">
        <f t="array" ref="D86">IF(ISERROR(_xlfn.XLOOKUP(D$5,'QB_Funds Analysis raw'!$B$5:$AC$5, _xlfn.XLOOKUP($A86,'QB_Funds Analysis raw'!$A$6:$A$104,'QB_Funds Analysis raw'!$B$6:$AC$104))),0,(_xlfn.XLOOKUP(D$5,'QB_Funds Analysis raw'!$B$5:$AC$5, _xlfn.XLOOKUP($A86,'QB_Funds Analysis raw'!$A$6:$A$104,'QB_Funds Analysis raw'!$B$6:$AC$104))))</f>
        <v>0</v>
      </c>
      <c r="E86" s="142" cm="1">
        <f t="array" ref="E86">IF(ISERROR(_xlfn.XLOOKUP(E$5,'QB_Funds Analysis raw'!$B$5:$AC$5, _xlfn.XLOOKUP($A86,'QB_Funds Analysis raw'!$A$6:$A$104,'QB_Funds Analysis raw'!$B$6:$AC$104))),0,(_xlfn.XLOOKUP(E$5,'QB_Funds Analysis raw'!$B$5:$AC$5, _xlfn.XLOOKUP($A86,'QB_Funds Analysis raw'!$A$6:$A$104,'QB_Funds Analysis raw'!$B$6:$AC$104))))</f>
        <v>0</v>
      </c>
      <c r="F86" s="142" cm="1">
        <f t="array" ref="F86">IF(ISERROR(_xlfn.XLOOKUP(F$5,'QB_Funds Analysis raw'!$B$5:$AC$5, _xlfn.XLOOKUP($A86,'QB_Funds Analysis raw'!$A$6:$A$104,'QB_Funds Analysis raw'!$B$6:$AC$104))),0,(_xlfn.XLOOKUP(F$5,'QB_Funds Analysis raw'!$B$5:$AC$5, _xlfn.XLOOKUP($A86,'QB_Funds Analysis raw'!$A$6:$A$104,'QB_Funds Analysis raw'!$B$6:$AC$104))))</f>
        <v>0</v>
      </c>
      <c r="G86" s="142" cm="1">
        <f t="array" ref="G86">IF(ISERROR(_xlfn.XLOOKUP(G$5,'QB_Funds Analysis raw'!$B$5:$AC$5, _xlfn.XLOOKUP($A86,'QB_Funds Analysis raw'!$A$6:$A$104,'QB_Funds Analysis raw'!$B$6:$AC$104))),0,(_xlfn.XLOOKUP(G$5,'QB_Funds Analysis raw'!$B$5:$AC$5, _xlfn.XLOOKUP($A86,'QB_Funds Analysis raw'!$A$6:$A$104,'QB_Funds Analysis raw'!$B$6:$AC$104))))</f>
        <v>0</v>
      </c>
      <c r="H86" s="142" cm="1">
        <f t="array" ref="H86">IF(ISERROR(_xlfn.XLOOKUP(H$5,'QB_Funds Analysis raw'!$B$5:$AC$5, _xlfn.XLOOKUP($A86,'QB_Funds Analysis raw'!$A$6:$A$104,'QB_Funds Analysis raw'!$B$6:$AC$104))),0,(_xlfn.XLOOKUP(H$5,'QB_Funds Analysis raw'!$B$5:$AC$5, _xlfn.XLOOKUP($A86,'QB_Funds Analysis raw'!$A$6:$A$104,'QB_Funds Analysis raw'!$B$6:$AC$104))))</f>
        <v>7</v>
      </c>
      <c r="I86" s="142" cm="1">
        <f t="array" ref="I86">IF(ISERROR(_xlfn.XLOOKUP(I$5,'QB_Funds Analysis raw'!$B$5:$AC$5, _xlfn.XLOOKUP($A86,'QB_Funds Analysis raw'!$A$6:$A$104,'QB_Funds Analysis raw'!$B$6:$AC$104))),0,(_xlfn.XLOOKUP(I$5,'QB_Funds Analysis raw'!$B$5:$AC$5, _xlfn.XLOOKUP($A86,'QB_Funds Analysis raw'!$A$6:$A$104,'QB_Funds Analysis raw'!$B$6:$AC$104))))</f>
        <v>0</v>
      </c>
      <c r="J86" s="142" cm="1">
        <f t="array" ref="J86">IF(ISERROR(_xlfn.XLOOKUP(J$5,'QB_Funds Analysis raw'!$B$5:$AC$5, _xlfn.XLOOKUP($A86,'QB_Funds Analysis raw'!$A$6:$A$104,'QB_Funds Analysis raw'!$B$6:$AC$104))),0,(_xlfn.XLOOKUP(J$5,'QB_Funds Analysis raw'!$B$5:$AC$5, _xlfn.XLOOKUP($A86,'QB_Funds Analysis raw'!$A$6:$A$104,'QB_Funds Analysis raw'!$B$6:$AC$104))))</f>
        <v>0</v>
      </c>
      <c r="K86" s="252" cm="1">
        <f t="array" ref="K86">IF(ISERROR(_xlfn.XLOOKUP(K$5,'QB_Funds Analysis raw'!$B$5:$AC$5, _xlfn.XLOOKUP($A86,'QB_Funds Analysis raw'!$A$6:$A$104,'QB_Funds Analysis raw'!$B$6:$AC$104))),0,(_xlfn.XLOOKUP(K$5,'QB_Funds Analysis raw'!$B$5:$AC$5, _xlfn.XLOOKUP($A86,'QB_Funds Analysis raw'!$A$6:$A$104,'QB_Funds Analysis raw'!$B$6:$AC$104))))</f>
        <v>0</v>
      </c>
      <c r="L86" s="142" cm="1">
        <f t="array" ref="L86">IF(ISERROR(_xlfn.XLOOKUP(L$5,'QB_Funds Analysis raw'!$B$5:$AC$5, _xlfn.XLOOKUP($A86,'QB_Funds Analysis raw'!$A$6:$A$104,'QB_Funds Analysis raw'!$B$6:$AC$104))),0,(_xlfn.XLOOKUP(L$5,'QB_Funds Analysis raw'!$B$5:$AC$5, _xlfn.XLOOKUP($A86,'QB_Funds Analysis raw'!$A$6:$A$104,'QB_Funds Analysis raw'!$B$6:$AC$104))))</f>
        <v>0</v>
      </c>
      <c r="M86" s="142" cm="1">
        <f t="array" ref="M86">IF(ISERROR(_xlfn.XLOOKUP(M$5,'QB_Funds Analysis raw'!$B$5:$AC$5, _xlfn.XLOOKUP($A86,'QB_Funds Analysis raw'!$A$6:$A$104,'QB_Funds Analysis raw'!$B$6:$AC$104))),0,(_xlfn.XLOOKUP(M$5,'QB_Funds Analysis raw'!$B$5:$AC$5, _xlfn.XLOOKUP($A86,'QB_Funds Analysis raw'!$A$6:$A$104,'QB_Funds Analysis raw'!$B$6:$AC$104))))</f>
        <v>0</v>
      </c>
      <c r="N86" s="252" cm="1">
        <f t="array" ref="N86">IF(ISERROR(_xlfn.XLOOKUP(N$5,'QB_Funds Analysis raw'!$B$5:$AC$5, _xlfn.XLOOKUP($A86,'QB_Funds Analysis raw'!$A$6:$A$104,'QB_Funds Analysis raw'!$B$6:$AC$104))),0,(_xlfn.XLOOKUP(N$5,'QB_Funds Analysis raw'!$B$5:$AC$5, _xlfn.XLOOKUP($A86,'QB_Funds Analysis raw'!$A$6:$A$104,'QB_Funds Analysis raw'!$B$6:$AC$104))))</f>
        <v>0</v>
      </c>
      <c r="O86" s="252" cm="1">
        <f t="array" ref="O86">IF(ISERROR(_xlfn.XLOOKUP(O$5,'QB_Funds Analysis raw'!$B$5:$AC$5, _xlfn.XLOOKUP($A86,'QB_Funds Analysis raw'!$A$6:$A$104,'QB_Funds Analysis raw'!$B$6:$AC$104))),0,(_xlfn.XLOOKUP(O$5,'QB_Funds Analysis raw'!$B$5:$AC$5, _xlfn.XLOOKUP($A86,'QB_Funds Analysis raw'!$A$6:$A$104,'QB_Funds Analysis raw'!$B$6:$AC$104))))</f>
        <v>0</v>
      </c>
      <c r="P86" s="142" cm="1">
        <f t="array" ref="P86">IF(ISERROR(_xlfn.XLOOKUP(P$5,'QB_Funds Analysis raw'!$B$5:$AC$5, _xlfn.XLOOKUP($A86,'QB_Funds Analysis raw'!$A$6:$A$104,'QB_Funds Analysis raw'!$B$6:$AC$104))),0,(_xlfn.XLOOKUP(P$5,'QB_Funds Analysis raw'!$B$5:$AC$5, _xlfn.XLOOKUP($A86,'QB_Funds Analysis raw'!$A$6:$A$104,'QB_Funds Analysis raw'!$B$6:$AC$104))))</f>
        <v>0</v>
      </c>
      <c r="Q86" s="247" cm="1">
        <f t="array" ref="Q86">IF(ISERROR(_xlfn.XLOOKUP(Q$5,'QB_Funds Analysis raw'!$B$5:$AC$5, _xlfn.XLOOKUP($A86,'QB_Funds Analysis raw'!$A$6:$A$104,'QB_Funds Analysis raw'!$B$6:$AC$104))),0,(_xlfn.XLOOKUP(Q$5,'QB_Funds Analysis raw'!$B$5:$AC$5, _xlfn.XLOOKUP($A86,'QB_Funds Analysis raw'!$A$6:$A$104,'QB_Funds Analysis raw'!$B$6:$AC$104))))</f>
        <v>0</v>
      </c>
      <c r="R86" s="142" cm="1">
        <f t="array" ref="R86">IF(ISERROR(_xlfn.XLOOKUP(R$5,'QB_Funds Analysis raw'!$B$5:$AC$5, _xlfn.XLOOKUP($A86,'QB_Funds Analysis raw'!$A$6:$A$104,'QB_Funds Analysis raw'!$B$6:$AC$104))),0,(_xlfn.XLOOKUP(R$5,'QB_Funds Analysis raw'!$B$5:$AC$5, _xlfn.XLOOKUP($A86,'QB_Funds Analysis raw'!$A$6:$A$104,'QB_Funds Analysis raw'!$B$6:$AC$104))))</f>
        <v>0</v>
      </c>
      <c r="S86" s="142" cm="1">
        <f t="array" ref="S86">IF(ISERROR(_xlfn.XLOOKUP(S$5,'QB_Funds Analysis raw'!$B$5:$AC$5, _xlfn.XLOOKUP($A86,'QB_Funds Analysis raw'!$A$6:$A$104,'QB_Funds Analysis raw'!$B$6:$AC$104))),0,(_xlfn.XLOOKUP(S$5,'QB_Funds Analysis raw'!$B$5:$AC$5, _xlfn.XLOOKUP($A86,'QB_Funds Analysis raw'!$A$6:$A$104,'QB_Funds Analysis raw'!$B$6:$AC$104))))</f>
        <v>0</v>
      </c>
      <c r="T86" s="142" cm="1">
        <f t="array" ref="T86">IF(ISERROR(_xlfn.XLOOKUP(T$5,'QB_Funds Analysis raw'!$B$5:$AC$5, _xlfn.XLOOKUP($A86,'QB_Funds Analysis raw'!$A$6:$A$104,'QB_Funds Analysis raw'!$B$6:$AC$104))),0,(_xlfn.XLOOKUP(T$5,'QB_Funds Analysis raw'!$B$5:$AC$5, _xlfn.XLOOKUP($A86,'QB_Funds Analysis raw'!$A$6:$A$104,'QB_Funds Analysis raw'!$B$6:$AC$104))))</f>
        <v>0</v>
      </c>
      <c r="U86" s="142" cm="1">
        <f t="array" ref="U86">IF(ISERROR(_xlfn.XLOOKUP(U$5,'QB_Funds Analysis raw'!$B$5:$AC$5, _xlfn.XLOOKUP($A86,'QB_Funds Analysis raw'!$A$6:$A$104,'QB_Funds Analysis raw'!$B$6:$AC$104))),0,(_xlfn.XLOOKUP(U$5,'QB_Funds Analysis raw'!$B$5:$AC$5, _xlfn.XLOOKUP($A86,'QB_Funds Analysis raw'!$A$6:$A$104,'QB_Funds Analysis raw'!$B$6:$AC$104))))</f>
        <v>0</v>
      </c>
      <c r="V86" s="142" cm="1">
        <f t="array" ref="V86">IF(ISERROR(_xlfn.XLOOKUP(V$5,'QB_Funds Analysis raw'!$B$5:$AC$5, _xlfn.XLOOKUP($A86,'QB_Funds Analysis raw'!$A$6:$A$104,'QB_Funds Analysis raw'!$B$6:$AC$104))),0,(_xlfn.XLOOKUP(V$5,'QB_Funds Analysis raw'!$B$5:$AC$5, _xlfn.XLOOKUP($A86,'QB_Funds Analysis raw'!$A$6:$A$104,'QB_Funds Analysis raw'!$B$6:$AC$104))))</f>
        <v>0</v>
      </c>
      <c r="W86" s="142" cm="1">
        <f t="array" ref="W86">IF(ISERROR(_xlfn.XLOOKUP(W$5,'QB_Funds Analysis raw'!$B$5:$AC$5, _xlfn.XLOOKUP($A86,'QB_Funds Analysis raw'!$A$6:$A$104,'QB_Funds Analysis raw'!$B$6:$AC$104))),0,(_xlfn.XLOOKUP(W$5,'QB_Funds Analysis raw'!$B$5:$AC$5, _xlfn.XLOOKUP($A86,'QB_Funds Analysis raw'!$A$6:$A$104,'QB_Funds Analysis raw'!$B$6:$AC$104))))</f>
        <v>0</v>
      </c>
      <c r="X86" s="142" cm="1">
        <f t="array" ref="X86">IF(ISERROR(_xlfn.XLOOKUP(X$5,'QB_Funds Analysis raw'!$B$5:$AC$5, _xlfn.XLOOKUP($A86,'QB_Funds Analysis raw'!$A$6:$A$104,'QB_Funds Analysis raw'!$B$6:$AC$104))),0,(_xlfn.XLOOKUP(X$5,'QB_Funds Analysis raw'!$B$5:$AC$5, _xlfn.XLOOKUP($A86,'QB_Funds Analysis raw'!$A$6:$A$104,'QB_Funds Analysis raw'!$B$6:$AC$104))))</f>
        <v>0</v>
      </c>
      <c r="Y86" s="142" cm="1">
        <f t="array" ref="Y86">IF(ISERROR(_xlfn.XLOOKUP(Y$5,'QB_Funds Analysis raw'!$B$5:$AC$5, _xlfn.XLOOKUP($A86,'QB_Funds Analysis raw'!$A$6:$A$104,'QB_Funds Analysis raw'!$B$6:$AC$104))),0,(_xlfn.XLOOKUP(Y$5,'QB_Funds Analysis raw'!$B$5:$AC$5, _xlfn.XLOOKUP($A86,'QB_Funds Analysis raw'!$A$6:$A$104,'QB_Funds Analysis raw'!$B$6:$AC$104))))</f>
        <v>0</v>
      </c>
      <c r="Z86" s="142" cm="1">
        <f t="array" ref="Z86">IF(ISERROR(_xlfn.XLOOKUP(Z$5,'QB_Funds Analysis raw'!$B$5:$AC$5, _xlfn.XLOOKUP($A86,'QB_Funds Analysis raw'!$A$6:$A$104,'QB_Funds Analysis raw'!$B$6:$AC$104))),0,(_xlfn.XLOOKUP(Z$5,'QB_Funds Analysis raw'!$B$5:$AC$5, _xlfn.XLOOKUP($A86,'QB_Funds Analysis raw'!$A$6:$A$104,'QB_Funds Analysis raw'!$B$6:$AC$104))))</f>
        <v>0</v>
      </c>
      <c r="AA86" s="142" cm="1">
        <f t="array" ref="AA86">IF(ISERROR(_xlfn.XLOOKUP(AA$5,'QB_Funds Analysis raw'!$B$5:$AC$5, _xlfn.XLOOKUP($A86,'QB_Funds Analysis raw'!$A$6:$A$104,'QB_Funds Analysis raw'!$B$6:$AC$104))),0,(_xlfn.XLOOKUP(AA$5,'QB_Funds Analysis raw'!$B$5:$AC$5, _xlfn.XLOOKUP($A86,'QB_Funds Analysis raw'!$A$6:$A$104,'QB_Funds Analysis raw'!$B$6:$AC$104))))</f>
        <v>0</v>
      </c>
      <c r="AB86" s="142" cm="1">
        <f t="array" ref="AB86">IF(ISERROR(_xlfn.XLOOKUP(AB$5,'QB_Funds Analysis raw'!$B$5:$AC$5, _xlfn.XLOOKUP($A86,'QB_Funds Analysis raw'!$A$6:$A$104,'QB_Funds Analysis raw'!$B$6:$AC$104))),0,(_xlfn.XLOOKUP(AB$5,'QB_Funds Analysis raw'!$B$5:$AC$5, _xlfn.XLOOKUP($A86,'QB_Funds Analysis raw'!$A$6:$A$104,'QB_Funds Analysis raw'!$B$6:$AC$104))))</f>
        <v>7</v>
      </c>
      <c r="AC86" s="142" cm="1">
        <f t="array" ref="AC86">IF(ISERROR(_xlfn.XLOOKUP(AC$5,'QB_Funds Analysis raw'!$B$5:$AC$5, _xlfn.XLOOKUP($A86,'QB_Funds Analysis raw'!$A$6:$A$104,'QB_Funds Analysis raw'!$B$6:$AC$104))),0,(_xlfn.XLOOKUP(AC$5,'QB_Funds Analysis raw'!$B$5:$AC$5, _xlfn.XLOOKUP($A86,'QB_Funds Analysis raw'!$A$6:$A$104,'QB_Funds Analysis raw'!$B$6:$AC$104))))</f>
        <v>7</v>
      </c>
      <c r="AD86" s="167">
        <f t="shared" si="13"/>
        <v>7</v>
      </c>
      <c r="AE86" s="167">
        <f t="shared" si="22"/>
        <v>0</v>
      </c>
    </row>
    <row r="87" spans="1:31" ht="20.25" customHeight="1" x14ac:dyDescent="0.25">
      <c r="A87" s="2" t="s">
        <v>85</v>
      </c>
      <c r="B87" s="142" cm="1">
        <f t="array" ref="B87">IF(ISERROR(_xlfn.XLOOKUP(B$5,'QB_Funds Analysis raw'!$B$5:$AC$5, _xlfn.XLOOKUP($A87,'QB_Funds Analysis raw'!$A$6:$A$104,'QB_Funds Analysis raw'!$B$6:$AC$104))),0,(_xlfn.XLOOKUP(B$5,'QB_Funds Analysis raw'!$B$5:$AC$5, _xlfn.XLOOKUP($A87,'QB_Funds Analysis raw'!$A$6:$A$104,'QB_Funds Analysis raw'!$B$6:$AC$104))))</f>
        <v>0</v>
      </c>
      <c r="C87" s="142" cm="1">
        <f t="array" ref="C87">IF(ISERROR(_xlfn.XLOOKUP(C$5,'QB_Funds Analysis raw'!$B$5:$AC$5, _xlfn.XLOOKUP($A87,'QB_Funds Analysis raw'!$A$6:$A$104,'QB_Funds Analysis raw'!$B$6:$AC$104))),0,(_xlfn.XLOOKUP(C$5,'QB_Funds Analysis raw'!$B$5:$AC$5, _xlfn.XLOOKUP($A87,'QB_Funds Analysis raw'!$A$6:$A$104,'QB_Funds Analysis raw'!$B$6:$AC$104))))</f>
        <v>0</v>
      </c>
      <c r="D87" s="252" cm="1">
        <f t="array" ref="D87">IF(ISERROR(_xlfn.XLOOKUP(D$5,'QB_Funds Analysis raw'!$B$5:$AC$5, _xlfn.XLOOKUP($A87,'QB_Funds Analysis raw'!$A$6:$A$104,'QB_Funds Analysis raw'!$B$6:$AC$104))),0,(_xlfn.XLOOKUP(D$5,'QB_Funds Analysis raw'!$B$5:$AC$5, _xlfn.XLOOKUP($A87,'QB_Funds Analysis raw'!$A$6:$A$104,'QB_Funds Analysis raw'!$B$6:$AC$104))))</f>
        <v>0</v>
      </c>
      <c r="E87" s="142" cm="1">
        <f t="array" ref="E87">IF(ISERROR(_xlfn.XLOOKUP(E$5,'QB_Funds Analysis raw'!$B$5:$AC$5, _xlfn.XLOOKUP($A87,'QB_Funds Analysis raw'!$A$6:$A$104,'QB_Funds Analysis raw'!$B$6:$AC$104))),0,(_xlfn.XLOOKUP(E$5,'QB_Funds Analysis raw'!$B$5:$AC$5, _xlfn.XLOOKUP($A87,'QB_Funds Analysis raw'!$A$6:$A$104,'QB_Funds Analysis raw'!$B$6:$AC$104))))</f>
        <v>0</v>
      </c>
      <c r="F87" s="142" cm="1">
        <f t="array" ref="F87">IF(ISERROR(_xlfn.XLOOKUP(F$5,'QB_Funds Analysis raw'!$B$5:$AC$5, _xlfn.XLOOKUP($A87,'QB_Funds Analysis raw'!$A$6:$A$104,'QB_Funds Analysis raw'!$B$6:$AC$104))),0,(_xlfn.XLOOKUP(F$5,'QB_Funds Analysis raw'!$B$5:$AC$5, _xlfn.XLOOKUP($A87,'QB_Funds Analysis raw'!$A$6:$A$104,'QB_Funds Analysis raw'!$B$6:$AC$104))))</f>
        <v>0</v>
      </c>
      <c r="G87" s="142" cm="1">
        <f t="array" ref="G87">IF(ISERROR(_xlfn.XLOOKUP(G$5,'QB_Funds Analysis raw'!$B$5:$AC$5, _xlfn.XLOOKUP($A87,'QB_Funds Analysis raw'!$A$6:$A$104,'QB_Funds Analysis raw'!$B$6:$AC$104))),0,(_xlfn.XLOOKUP(G$5,'QB_Funds Analysis raw'!$B$5:$AC$5, _xlfn.XLOOKUP($A87,'QB_Funds Analysis raw'!$A$6:$A$104,'QB_Funds Analysis raw'!$B$6:$AC$104))))</f>
        <v>0</v>
      </c>
      <c r="H87" s="142" cm="1">
        <f t="array" ref="H87">IF(ISERROR(_xlfn.XLOOKUP(H$5,'QB_Funds Analysis raw'!$B$5:$AC$5, _xlfn.XLOOKUP($A87,'QB_Funds Analysis raw'!$A$6:$A$104,'QB_Funds Analysis raw'!$B$6:$AC$104))),0,(_xlfn.XLOOKUP(H$5,'QB_Funds Analysis raw'!$B$5:$AC$5, _xlfn.XLOOKUP($A87,'QB_Funds Analysis raw'!$A$6:$A$104,'QB_Funds Analysis raw'!$B$6:$AC$104))))</f>
        <v>0</v>
      </c>
      <c r="I87" s="142" cm="1">
        <f t="array" ref="I87">IF(ISERROR(_xlfn.XLOOKUP(I$5,'QB_Funds Analysis raw'!$B$5:$AC$5, _xlfn.XLOOKUP($A87,'QB_Funds Analysis raw'!$A$6:$A$104,'QB_Funds Analysis raw'!$B$6:$AC$104))),0,(_xlfn.XLOOKUP(I$5,'QB_Funds Analysis raw'!$B$5:$AC$5, _xlfn.XLOOKUP($A87,'QB_Funds Analysis raw'!$A$6:$A$104,'QB_Funds Analysis raw'!$B$6:$AC$104))))</f>
        <v>0</v>
      </c>
      <c r="J87" s="142" cm="1">
        <f t="array" ref="J87">IF(ISERROR(_xlfn.XLOOKUP(J$5,'QB_Funds Analysis raw'!$B$5:$AC$5, _xlfn.XLOOKUP($A87,'QB_Funds Analysis raw'!$A$6:$A$104,'QB_Funds Analysis raw'!$B$6:$AC$104))),0,(_xlfn.XLOOKUP(J$5,'QB_Funds Analysis raw'!$B$5:$AC$5, _xlfn.XLOOKUP($A87,'QB_Funds Analysis raw'!$A$6:$A$104,'QB_Funds Analysis raw'!$B$6:$AC$104))))</f>
        <v>0</v>
      </c>
      <c r="K87" s="252" cm="1">
        <f t="array" ref="K87">IF(ISERROR(_xlfn.XLOOKUP(K$5,'QB_Funds Analysis raw'!$B$5:$AC$5, _xlfn.XLOOKUP($A87,'QB_Funds Analysis raw'!$A$6:$A$104,'QB_Funds Analysis raw'!$B$6:$AC$104))),0,(_xlfn.XLOOKUP(K$5,'QB_Funds Analysis raw'!$B$5:$AC$5, _xlfn.XLOOKUP($A87,'QB_Funds Analysis raw'!$A$6:$A$104,'QB_Funds Analysis raw'!$B$6:$AC$104))))</f>
        <v>44.52</v>
      </c>
      <c r="L87" s="142" cm="1">
        <f t="array" ref="L87">IF(ISERROR(_xlfn.XLOOKUP(L$5,'QB_Funds Analysis raw'!$B$5:$AC$5, _xlfn.XLOOKUP($A87,'QB_Funds Analysis raw'!$A$6:$A$104,'QB_Funds Analysis raw'!$B$6:$AC$104))),0,(_xlfn.XLOOKUP(L$5,'QB_Funds Analysis raw'!$B$5:$AC$5, _xlfn.XLOOKUP($A87,'QB_Funds Analysis raw'!$A$6:$A$104,'QB_Funds Analysis raw'!$B$6:$AC$104))))</f>
        <v>0</v>
      </c>
      <c r="M87" s="142" cm="1">
        <f t="array" ref="M87">IF(ISERROR(_xlfn.XLOOKUP(M$5,'QB_Funds Analysis raw'!$B$5:$AC$5, _xlfn.XLOOKUP($A87,'QB_Funds Analysis raw'!$A$6:$A$104,'QB_Funds Analysis raw'!$B$6:$AC$104))),0,(_xlfn.XLOOKUP(M$5,'QB_Funds Analysis raw'!$B$5:$AC$5, _xlfn.XLOOKUP($A87,'QB_Funds Analysis raw'!$A$6:$A$104,'QB_Funds Analysis raw'!$B$6:$AC$104))))</f>
        <v>0</v>
      </c>
      <c r="N87" s="252" cm="1">
        <f t="array" ref="N87">IF(ISERROR(_xlfn.XLOOKUP(N$5,'QB_Funds Analysis raw'!$B$5:$AC$5, _xlfn.XLOOKUP($A87,'QB_Funds Analysis raw'!$A$6:$A$104,'QB_Funds Analysis raw'!$B$6:$AC$104))),0,(_xlfn.XLOOKUP(N$5,'QB_Funds Analysis raw'!$B$5:$AC$5, _xlfn.XLOOKUP($A87,'QB_Funds Analysis raw'!$A$6:$A$104,'QB_Funds Analysis raw'!$B$6:$AC$104))))</f>
        <v>0</v>
      </c>
      <c r="O87" s="252" cm="1">
        <f t="array" ref="O87">IF(ISERROR(_xlfn.XLOOKUP(O$5,'QB_Funds Analysis raw'!$B$5:$AC$5, _xlfn.XLOOKUP($A87,'QB_Funds Analysis raw'!$A$6:$A$104,'QB_Funds Analysis raw'!$B$6:$AC$104))),0,(_xlfn.XLOOKUP(O$5,'QB_Funds Analysis raw'!$B$5:$AC$5, _xlfn.XLOOKUP($A87,'QB_Funds Analysis raw'!$A$6:$A$104,'QB_Funds Analysis raw'!$B$6:$AC$104))))</f>
        <v>0</v>
      </c>
      <c r="P87" s="142" cm="1">
        <f t="array" ref="P87">IF(ISERROR(_xlfn.XLOOKUP(P$5,'QB_Funds Analysis raw'!$B$5:$AC$5, _xlfn.XLOOKUP($A87,'QB_Funds Analysis raw'!$A$6:$A$104,'QB_Funds Analysis raw'!$B$6:$AC$104))),0,(_xlfn.XLOOKUP(P$5,'QB_Funds Analysis raw'!$B$5:$AC$5, _xlfn.XLOOKUP($A87,'QB_Funds Analysis raw'!$A$6:$A$104,'QB_Funds Analysis raw'!$B$6:$AC$104))))</f>
        <v>0</v>
      </c>
      <c r="Q87" s="247" cm="1">
        <f t="array" ref="Q87">IF(ISERROR(_xlfn.XLOOKUP(Q$5,'QB_Funds Analysis raw'!$B$5:$AC$5, _xlfn.XLOOKUP($A87,'QB_Funds Analysis raw'!$A$6:$A$104,'QB_Funds Analysis raw'!$B$6:$AC$104))),0,(_xlfn.XLOOKUP(Q$5,'QB_Funds Analysis raw'!$B$5:$AC$5, _xlfn.XLOOKUP($A87,'QB_Funds Analysis raw'!$A$6:$A$104,'QB_Funds Analysis raw'!$B$6:$AC$104))))</f>
        <v>44.52</v>
      </c>
      <c r="R87" s="142" cm="1">
        <f t="array" ref="R87">IF(ISERROR(_xlfn.XLOOKUP(R$5,'QB_Funds Analysis raw'!$B$5:$AC$5, _xlfn.XLOOKUP($A87,'QB_Funds Analysis raw'!$A$6:$A$104,'QB_Funds Analysis raw'!$B$6:$AC$104))),0,(_xlfn.XLOOKUP(R$5,'QB_Funds Analysis raw'!$B$5:$AC$5, _xlfn.XLOOKUP($A87,'QB_Funds Analysis raw'!$A$6:$A$104,'QB_Funds Analysis raw'!$B$6:$AC$104))))</f>
        <v>0</v>
      </c>
      <c r="S87" s="142" cm="1">
        <f t="array" ref="S87">IF(ISERROR(_xlfn.XLOOKUP(S$5,'QB_Funds Analysis raw'!$B$5:$AC$5, _xlfn.XLOOKUP($A87,'QB_Funds Analysis raw'!$A$6:$A$104,'QB_Funds Analysis raw'!$B$6:$AC$104))),0,(_xlfn.XLOOKUP(S$5,'QB_Funds Analysis raw'!$B$5:$AC$5, _xlfn.XLOOKUP($A87,'QB_Funds Analysis raw'!$A$6:$A$104,'QB_Funds Analysis raw'!$B$6:$AC$104))))</f>
        <v>0</v>
      </c>
      <c r="T87" s="142" cm="1">
        <f t="array" ref="T87">IF(ISERROR(_xlfn.XLOOKUP(T$5,'QB_Funds Analysis raw'!$B$5:$AC$5, _xlfn.XLOOKUP($A87,'QB_Funds Analysis raw'!$A$6:$A$104,'QB_Funds Analysis raw'!$B$6:$AC$104))),0,(_xlfn.XLOOKUP(T$5,'QB_Funds Analysis raw'!$B$5:$AC$5, _xlfn.XLOOKUP($A87,'QB_Funds Analysis raw'!$A$6:$A$104,'QB_Funds Analysis raw'!$B$6:$AC$104))))</f>
        <v>0</v>
      </c>
      <c r="U87" s="142" cm="1">
        <f t="array" ref="U87">IF(ISERROR(_xlfn.XLOOKUP(U$5,'QB_Funds Analysis raw'!$B$5:$AC$5, _xlfn.XLOOKUP($A87,'QB_Funds Analysis raw'!$A$6:$A$104,'QB_Funds Analysis raw'!$B$6:$AC$104))),0,(_xlfn.XLOOKUP(U$5,'QB_Funds Analysis raw'!$B$5:$AC$5, _xlfn.XLOOKUP($A87,'QB_Funds Analysis raw'!$A$6:$A$104,'QB_Funds Analysis raw'!$B$6:$AC$104))))</f>
        <v>0</v>
      </c>
      <c r="V87" s="142" cm="1">
        <f t="array" ref="V87">IF(ISERROR(_xlfn.XLOOKUP(V$5,'QB_Funds Analysis raw'!$B$5:$AC$5, _xlfn.XLOOKUP($A87,'QB_Funds Analysis raw'!$A$6:$A$104,'QB_Funds Analysis raw'!$B$6:$AC$104))),0,(_xlfn.XLOOKUP(V$5,'QB_Funds Analysis raw'!$B$5:$AC$5, _xlfn.XLOOKUP($A87,'QB_Funds Analysis raw'!$A$6:$A$104,'QB_Funds Analysis raw'!$B$6:$AC$104))))</f>
        <v>0</v>
      </c>
      <c r="W87" s="142" cm="1">
        <f t="array" ref="W87">IF(ISERROR(_xlfn.XLOOKUP(W$5,'QB_Funds Analysis raw'!$B$5:$AC$5, _xlfn.XLOOKUP($A87,'QB_Funds Analysis raw'!$A$6:$A$104,'QB_Funds Analysis raw'!$B$6:$AC$104))),0,(_xlfn.XLOOKUP(W$5,'QB_Funds Analysis raw'!$B$5:$AC$5, _xlfn.XLOOKUP($A87,'QB_Funds Analysis raw'!$A$6:$A$104,'QB_Funds Analysis raw'!$B$6:$AC$104))))</f>
        <v>0</v>
      </c>
      <c r="X87" s="142" cm="1">
        <f t="array" ref="X87">IF(ISERROR(_xlfn.XLOOKUP(X$5,'QB_Funds Analysis raw'!$B$5:$AC$5, _xlfn.XLOOKUP($A87,'QB_Funds Analysis raw'!$A$6:$A$104,'QB_Funds Analysis raw'!$B$6:$AC$104))),0,(_xlfn.XLOOKUP(X$5,'QB_Funds Analysis raw'!$B$5:$AC$5, _xlfn.XLOOKUP($A87,'QB_Funds Analysis raw'!$A$6:$A$104,'QB_Funds Analysis raw'!$B$6:$AC$104))))</f>
        <v>0</v>
      </c>
      <c r="Y87" s="142" cm="1">
        <f t="array" ref="Y87">IF(ISERROR(_xlfn.XLOOKUP(Y$5,'QB_Funds Analysis raw'!$B$5:$AC$5, _xlfn.XLOOKUP($A87,'QB_Funds Analysis raw'!$A$6:$A$104,'QB_Funds Analysis raw'!$B$6:$AC$104))),0,(_xlfn.XLOOKUP(Y$5,'QB_Funds Analysis raw'!$B$5:$AC$5, _xlfn.XLOOKUP($A87,'QB_Funds Analysis raw'!$A$6:$A$104,'QB_Funds Analysis raw'!$B$6:$AC$104))))</f>
        <v>0</v>
      </c>
      <c r="Z87" s="142" cm="1">
        <f t="array" ref="Z87">IF(ISERROR(_xlfn.XLOOKUP(Z$5,'QB_Funds Analysis raw'!$B$5:$AC$5, _xlfn.XLOOKUP($A87,'QB_Funds Analysis raw'!$A$6:$A$104,'QB_Funds Analysis raw'!$B$6:$AC$104))),0,(_xlfn.XLOOKUP(Z$5,'QB_Funds Analysis raw'!$B$5:$AC$5, _xlfn.XLOOKUP($A87,'QB_Funds Analysis raw'!$A$6:$A$104,'QB_Funds Analysis raw'!$B$6:$AC$104))))</f>
        <v>0</v>
      </c>
      <c r="AA87" s="142" cm="1">
        <f t="array" ref="AA87">IF(ISERROR(_xlfn.XLOOKUP(AA$5,'QB_Funds Analysis raw'!$B$5:$AC$5, _xlfn.XLOOKUP($A87,'QB_Funds Analysis raw'!$A$6:$A$104,'QB_Funds Analysis raw'!$B$6:$AC$104))),0,(_xlfn.XLOOKUP(AA$5,'QB_Funds Analysis raw'!$B$5:$AC$5, _xlfn.XLOOKUP($A87,'QB_Funds Analysis raw'!$A$6:$A$104,'QB_Funds Analysis raw'!$B$6:$AC$104))))</f>
        <v>0</v>
      </c>
      <c r="AB87" s="142" cm="1">
        <f t="array" ref="AB87">IF(ISERROR(_xlfn.XLOOKUP(AB$5,'QB_Funds Analysis raw'!$B$5:$AC$5, _xlfn.XLOOKUP($A87,'QB_Funds Analysis raw'!$A$6:$A$104,'QB_Funds Analysis raw'!$B$6:$AC$104))),0,(_xlfn.XLOOKUP(AB$5,'QB_Funds Analysis raw'!$B$5:$AC$5, _xlfn.XLOOKUP($A87,'QB_Funds Analysis raw'!$A$6:$A$104,'QB_Funds Analysis raw'!$B$6:$AC$104))))</f>
        <v>25</v>
      </c>
      <c r="AC87" s="142" cm="1">
        <f t="array" ref="AC87">IF(ISERROR(_xlfn.XLOOKUP(AC$5,'QB_Funds Analysis raw'!$B$5:$AC$5, _xlfn.XLOOKUP($A87,'QB_Funds Analysis raw'!$A$6:$A$104,'QB_Funds Analysis raw'!$B$6:$AC$104))),0,(_xlfn.XLOOKUP(AC$5,'QB_Funds Analysis raw'!$B$5:$AC$5, _xlfn.XLOOKUP($A87,'QB_Funds Analysis raw'!$A$6:$A$104,'QB_Funds Analysis raw'!$B$6:$AC$104))))</f>
        <v>69.52000000000001</v>
      </c>
      <c r="AD87" s="167">
        <f t="shared" si="13"/>
        <v>69.52000000000001</v>
      </c>
      <c r="AE87" s="167">
        <f t="shared" si="22"/>
        <v>0</v>
      </c>
    </row>
    <row r="88" spans="1:31" ht="20.25" customHeight="1" x14ac:dyDescent="0.25">
      <c r="A88" s="134" t="s">
        <v>86</v>
      </c>
      <c r="B88" s="151">
        <f t="shared" ref="B88" si="24">(B85)+(B87)+B86</f>
        <v>0</v>
      </c>
      <c r="C88" s="151">
        <f t="shared" ref="C88:AC88" si="25">(C85)+(C87)+C86</f>
        <v>0</v>
      </c>
      <c r="D88" s="253">
        <f t="shared" si="25"/>
        <v>0</v>
      </c>
      <c r="E88" s="151">
        <f t="shared" si="25"/>
        <v>0</v>
      </c>
      <c r="F88" s="151">
        <f t="shared" si="25"/>
        <v>0</v>
      </c>
      <c r="G88" s="151">
        <f t="shared" si="25"/>
        <v>0</v>
      </c>
      <c r="H88" s="151">
        <f t="shared" si="25"/>
        <v>95.02</v>
      </c>
      <c r="I88" s="151">
        <f t="shared" si="25"/>
        <v>0</v>
      </c>
      <c r="J88" s="151">
        <f t="shared" si="25"/>
        <v>0</v>
      </c>
      <c r="K88" s="253">
        <f t="shared" si="25"/>
        <v>44.52</v>
      </c>
      <c r="L88" s="151">
        <f t="shared" si="25"/>
        <v>0</v>
      </c>
      <c r="M88" s="151">
        <f t="shared" si="25"/>
        <v>0</v>
      </c>
      <c r="N88" s="253">
        <f t="shared" si="25"/>
        <v>0</v>
      </c>
      <c r="O88" s="253">
        <f t="shared" si="25"/>
        <v>0</v>
      </c>
      <c r="P88" s="151">
        <f t="shared" si="25"/>
        <v>0</v>
      </c>
      <c r="Q88" s="244">
        <f t="shared" si="25"/>
        <v>44.52</v>
      </c>
      <c r="R88" s="151">
        <f t="shared" si="25"/>
        <v>0</v>
      </c>
      <c r="S88" s="151">
        <f t="shared" si="25"/>
        <v>0</v>
      </c>
      <c r="T88" s="151">
        <f t="shared" si="25"/>
        <v>0</v>
      </c>
      <c r="U88" s="151">
        <f t="shared" si="25"/>
        <v>0</v>
      </c>
      <c r="V88" s="151">
        <f t="shared" si="25"/>
        <v>0</v>
      </c>
      <c r="W88" s="151">
        <f t="shared" si="25"/>
        <v>0</v>
      </c>
      <c r="X88" s="151">
        <f t="shared" si="25"/>
        <v>0</v>
      </c>
      <c r="Y88" s="151">
        <f t="shared" si="25"/>
        <v>0</v>
      </c>
      <c r="Z88" s="151">
        <f t="shared" si="25"/>
        <v>0</v>
      </c>
      <c r="AA88" s="151">
        <f t="shared" si="25"/>
        <v>0</v>
      </c>
      <c r="AB88" s="151">
        <f t="shared" si="25"/>
        <v>120.02</v>
      </c>
      <c r="AC88" s="151">
        <f t="shared" si="25"/>
        <v>164.54000000000002</v>
      </c>
      <c r="AD88" s="167">
        <f t="shared" si="13"/>
        <v>164.54</v>
      </c>
      <c r="AE88" s="167">
        <f t="shared" si="22"/>
        <v>0</v>
      </c>
    </row>
    <row r="89" spans="1:31" ht="20.25" customHeight="1" x14ac:dyDescent="0.25">
      <c r="A89" s="2" t="s">
        <v>87</v>
      </c>
      <c r="B89" s="142" cm="1">
        <f t="array" ref="B89">IF(ISERROR(_xlfn.XLOOKUP(B$5,'QB_Funds Analysis raw'!$B$5:$AC$5, _xlfn.XLOOKUP($A89,'QB_Funds Analysis raw'!$A$6:$A$104,'QB_Funds Analysis raw'!$B$6:$AC$104))),0,(_xlfn.XLOOKUP(B$5,'QB_Funds Analysis raw'!$B$5:$AC$5, _xlfn.XLOOKUP($A89,'QB_Funds Analysis raw'!$A$6:$A$104,'QB_Funds Analysis raw'!$B$6:$AC$104))))</f>
        <v>0</v>
      </c>
      <c r="C89" s="142" cm="1">
        <f t="array" ref="C89">IF(ISERROR(_xlfn.XLOOKUP(C$5,'QB_Funds Analysis raw'!$B$5:$AC$5, _xlfn.XLOOKUP($A89,'QB_Funds Analysis raw'!$A$6:$A$104,'QB_Funds Analysis raw'!$B$6:$AC$104))),0,(_xlfn.XLOOKUP(C$5,'QB_Funds Analysis raw'!$B$5:$AC$5, _xlfn.XLOOKUP($A89,'QB_Funds Analysis raw'!$A$6:$A$104,'QB_Funds Analysis raw'!$B$6:$AC$104))))</f>
        <v>0</v>
      </c>
      <c r="D89" s="252" cm="1">
        <f t="array" ref="D89">IF(ISERROR(_xlfn.XLOOKUP(D$5,'QB_Funds Analysis raw'!$B$5:$AC$5, _xlfn.XLOOKUP($A89,'QB_Funds Analysis raw'!$A$6:$A$104,'QB_Funds Analysis raw'!$B$6:$AC$104))),0,(_xlfn.XLOOKUP(D$5,'QB_Funds Analysis raw'!$B$5:$AC$5, _xlfn.XLOOKUP($A89,'QB_Funds Analysis raw'!$A$6:$A$104,'QB_Funds Analysis raw'!$B$6:$AC$104))))</f>
        <v>0</v>
      </c>
      <c r="E89" s="142" cm="1">
        <f t="array" ref="E89">IF(ISERROR(_xlfn.XLOOKUP(E$5,'QB_Funds Analysis raw'!$B$5:$AC$5, _xlfn.XLOOKUP($A89,'QB_Funds Analysis raw'!$A$6:$A$104,'QB_Funds Analysis raw'!$B$6:$AC$104))),0,(_xlfn.XLOOKUP(E$5,'QB_Funds Analysis raw'!$B$5:$AC$5, _xlfn.XLOOKUP($A89,'QB_Funds Analysis raw'!$A$6:$A$104,'QB_Funds Analysis raw'!$B$6:$AC$104))))</f>
        <v>0</v>
      </c>
      <c r="F89" s="142" cm="1">
        <f t="array" ref="F89">IF(ISERROR(_xlfn.XLOOKUP(F$5,'QB_Funds Analysis raw'!$B$5:$AC$5, _xlfn.XLOOKUP($A89,'QB_Funds Analysis raw'!$A$6:$A$104,'QB_Funds Analysis raw'!$B$6:$AC$104))),0,(_xlfn.XLOOKUP(F$5,'QB_Funds Analysis raw'!$B$5:$AC$5, _xlfn.XLOOKUP($A89,'QB_Funds Analysis raw'!$A$6:$A$104,'QB_Funds Analysis raw'!$B$6:$AC$104))))</f>
        <v>0</v>
      </c>
      <c r="G89" s="142" cm="1">
        <f t="array" ref="G89">IF(ISERROR(_xlfn.XLOOKUP(G$5,'QB_Funds Analysis raw'!$B$5:$AC$5, _xlfn.XLOOKUP($A89,'QB_Funds Analysis raw'!$A$6:$A$104,'QB_Funds Analysis raw'!$B$6:$AC$104))),0,(_xlfn.XLOOKUP(G$5,'QB_Funds Analysis raw'!$B$5:$AC$5, _xlfn.XLOOKUP($A89,'QB_Funds Analysis raw'!$A$6:$A$104,'QB_Funds Analysis raw'!$B$6:$AC$104))))</f>
        <v>0</v>
      </c>
      <c r="H89" s="142" cm="1">
        <f t="array" ref="H89">IF(ISERROR(_xlfn.XLOOKUP(H$5,'QB_Funds Analysis raw'!$B$5:$AC$5, _xlfn.XLOOKUP($A89,'QB_Funds Analysis raw'!$A$6:$A$104,'QB_Funds Analysis raw'!$B$6:$AC$104))),0,(_xlfn.XLOOKUP(H$5,'QB_Funds Analysis raw'!$B$5:$AC$5, _xlfn.XLOOKUP($A89,'QB_Funds Analysis raw'!$A$6:$A$104,'QB_Funds Analysis raw'!$B$6:$AC$104))))</f>
        <v>0</v>
      </c>
      <c r="I89" s="142" cm="1">
        <f t="array" ref="I89">IF(ISERROR(_xlfn.XLOOKUP(I$5,'QB_Funds Analysis raw'!$B$5:$AC$5, _xlfn.XLOOKUP($A89,'QB_Funds Analysis raw'!$A$6:$A$104,'QB_Funds Analysis raw'!$B$6:$AC$104))),0,(_xlfn.XLOOKUP(I$5,'QB_Funds Analysis raw'!$B$5:$AC$5, _xlfn.XLOOKUP($A89,'QB_Funds Analysis raw'!$A$6:$A$104,'QB_Funds Analysis raw'!$B$6:$AC$104))))</f>
        <v>0</v>
      </c>
      <c r="J89" s="142" cm="1">
        <f t="array" ref="J89">IF(ISERROR(_xlfn.XLOOKUP(J$5,'QB_Funds Analysis raw'!$B$5:$AC$5, _xlfn.XLOOKUP($A89,'QB_Funds Analysis raw'!$A$6:$A$104,'QB_Funds Analysis raw'!$B$6:$AC$104))),0,(_xlfn.XLOOKUP(J$5,'QB_Funds Analysis raw'!$B$5:$AC$5, _xlfn.XLOOKUP($A89,'QB_Funds Analysis raw'!$A$6:$A$104,'QB_Funds Analysis raw'!$B$6:$AC$104))))</f>
        <v>0</v>
      </c>
      <c r="K89" s="252" cm="1">
        <f t="array" ref="K89">IF(ISERROR(_xlfn.XLOOKUP(K$5,'QB_Funds Analysis raw'!$B$5:$AC$5, _xlfn.XLOOKUP($A89,'QB_Funds Analysis raw'!$A$6:$A$104,'QB_Funds Analysis raw'!$B$6:$AC$104))),0,(_xlfn.XLOOKUP(K$5,'QB_Funds Analysis raw'!$B$5:$AC$5, _xlfn.XLOOKUP($A89,'QB_Funds Analysis raw'!$A$6:$A$104,'QB_Funds Analysis raw'!$B$6:$AC$104))))</f>
        <v>0</v>
      </c>
      <c r="L89" s="142" cm="1">
        <f t="array" ref="L89">IF(ISERROR(_xlfn.XLOOKUP(L$5,'QB_Funds Analysis raw'!$B$5:$AC$5, _xlfn.XLOOKUP($A89,'QB_Funds Analysis raw'!$A$6:$A$104,'QB_Funds Analysis raw'!$B$6:$AC$104))),0,(_xlfn.XLOOKUP(L$5,'QB_Funds Analysis raw'!$B$5:$AC$5, _xlfn.XLOOKUP($A89,'QB_Funds Analysis raw'!$A$6:$A$104,'QB_Funds Analysis raw'!$B$6:$AC$104))))</f>
        <v>0</v>
      </c>
      <c r="M89" s="142" cm="1">
        <f t="array" ref="M89">IF(ISERROR(_xlfn.XLOOKUP(M$5,'QB_Funds Analysis raw'!$B$5:$AC$5, _xlfn.XLOOKUP($A89,'QB_Funds Analysis raw'!$A$6:$A$104,'QB_Funds Analysis raw'!$B$6:$AC$104))),0,(_xlfn.XLOOKUP(M$5,'QB_Funds Analysis raw'!$B$5:$AC$5, _xlfn.XLOOKUP($A89,'QB_Funds Analysis raw'!$A$6:$A$104,'QB_Funds Analysis raw'!$B$6:$AC$104))))</f>
        <v>0</v>
      </c>
      <c r="N89" s="252" cm="1">
        <f t="array" ref="N89">IF(ISERROR(_xlfn.XLOOKUP(N$5,'QB_Funds Analysis raw'!$B$5:$AC$5, _xlfn.XLOOKUP($A89,'QB_Funds Analysis raw'!$A$6:$A$104,'QB_Funds Analysis raw'!$B$6:$AC$104))),0,(_xlfn.XLOOKUP(N$5,'QB_Funds Analysis raw'!$B$5:$AC$5, _xlfn.XLOOKUP($A89,'QB_Funds Analysis raw'!$A$6:$A$104,'QB_Funds Analysis raw'!$B$6:$AC$104))))</f>
        <v>0</v>
      </c>
      <c r="O89" s="252" cm="1">
        <f t="array" ref="O89">IF(ISERROR(_xlfn.XLOOKUP(O$5,'QB_Funds Analysis raw'!$B$5:$AC$5, _xlfn.XLOOKUP($A89,'QB_Funds Analysis raw'!$A$6:$A$104,'QB_Funds Analysis raw'!$B$6:$AC$104))),0,(_xlfn.XLOOKUP(O$5,'QB_Funds Analysis raw'!$B$5:$AC$5, _xlfn.XLOOKUP($A89,'QB_Funds Analysis raw'!$A$6:$A$104,'QB_Funds Analysis raw'!$B$6:$AC$104))))</f>
        <v>0</v>
      </c>
      <c r="P89" s="142" cm="1">
        <f t="array" ref="P89">IF(ISERROR(_xlfn.XLOOKUP(P$5,'QB_Funds Analysis raw'!$B$5:$AC$5, _xlfn.XLOOKUP($A89,'QB_Funds Analysis raw'!$A$6:$A$104,'QB_Funds Analysis raw'!$B$6:$AC$104))),0,(_xlfn.XLOOKUP(P$5,'QB_Funds Analysis raw'!$B$5:$AC$5, _xlfn.XLOOKUP($A89,'QB_Funds Analysis raw'!$A$6:$A$104,'QB_Funds Analysis raw'!$B$6:$AC$104))))</f>
        <v>0</v>
      </c>
      <c r="Q89" s="247" cm="1">
        <f t="array" ref="Q89">IF(ISERROR(_xlfn.XLOOKUP(Q$5,'QB_Funds Analysis raw'!$B$5:$AC$5, _xlfn.XLOOKUP($A89,'QB_Funds Analysis raw'!$A$6:$A$104,'QB_Funds Analysis raw'!$B$6:$AC$104))),0,(_xlfn.XLOOKUP(Q$5,'QB_Funds Analysis raw'!$B$5:$AC$5, _xlfn.XLOOKUP($A89,'QB_Funds Analysis raw'!$A$6:$A$104,'QB_Funds Analysis raw'!$B$6:$AC$104))))</f>
        <v>0</v>
      </c>
      <c r="R89" s="142" cm="1">
        <f t="array" ref="R89">IF(ISERROR(_xlfn.XLOOKUP(R$5,'QB_Funds Analysis raw'!$B$5:$AC$5, _xlfn.XLOOKUP($A89,'QB_Funds Analysis raw'!$A$6:$A$104,'QB_Funds Analysis raw'!$B$6:$AC$104))),0,(_xlfn.XLOOKUP(R$5,'QB_Funds Analysis raw'!$B$5:$AC$5, _xlfn.XLOOKUP($A89,'QB_Funds Analysis raw'!$A$6:$A$104,'QB_Funds Analysis raw'!$B$6:$AC$104))))</f>
        <v>0</v>
      </c>
      <c r="S89" s="142" cm="1">
        <f t="array" ref="S89">IF(ISERROR(_xlfn.XLOOKUP(S$5,'QB_Funds Analysis raw'!$B$5:$AC$5, _xlfn.XLOOKUP($A89,'QB_Funds Analysis raw'!$A$6:$A$104,'QB_Funds Analysis raw'!$B$6:$AC$104))),0,(_xlfn.XLOOKUP(S$5,'QB_Funds Analysis raw'!$B$5:$AC$5, _xlfn.XLOOKUP($A89,'QB_Funds Analysis raw'!$A$6:$A$104,'QB_Funds Analysis raw'!$B$6:$AC$104))))</f>
        <v>0</v>
      </c>
      <c r="T89" s="142" cm="1">
        <f t="array" ref="T89">IF(ISERROR(_xlfn.XLOOKUP(T$5,'QB_Funds Analysis raw'!$B$5:$AC$5, _xlfn.XLOOKUP($A89,'QB_Funds Analysis raw'!$A$6:$A$104,'QB_Funds Analysis raw'!$B$6:$AC$104))),0,(_xlfn.XLOOKUP(T$5,'QB_Funds Analysis raw'!$B$5:$AC$5, _xlfn.XLOOKUP($A89,'QB_Funds Analysis raw'!$A$6:$A$104,'QB_Funds Analysis raw'!$B$6:$AC$104))))</f>
        <v>0</v>
      </c>
      <c r="U89" s="142" cm="1">
        <f t="array" ref="U89">IF(ISERROR(_xlfn.XLOOKUP(U$5,'QB_Funds Analysis raw'!$B$5:$AC$5, _xlfn.XLOOKUP($A89,'QB_Funds Analysis raw'!$A$6:$A$104,'QB_Funds Analysis raw'!$B$6:$AC$104))),0,(_xlfn.XLOOKUP(U$5,'QB_Funds Analysis raw'!$B$5:$AC$5, _xlfn.XLOOKUP($A89,'QB_Funds Analysis raw'!$A$6:$A$104,'QB_Funds Analysis raw'!$B$6:$AC$104))))</f>
        <v>0</v>
      </c>
      <c r="V89" s="142" cm="1">
        <f t="array" ref="V89">IF(ISERROR(_xlfn.XLOOKUP(V$5,'QB_Funds Analysis raw'!$B$5:$AC$5, _xlfn.XLOOKUP($A89,'QB_Funds Analysis raw'!$A$6:$A$104,'QB_Funds Analysis raw'!$B$6:$AC$104))),0,(_xlfn.XLOOKUP(V$5,'QB_Funds Analysis raw'!$B$5:$AC$5, _xlfn.XLOOKUP($A89,'QB_Funds Analysis raw'!$A$6:$A$104,'QB_Funds Analysis raw'!$B$6:$AC$104))))</f>
        <v>0</v>
      </c>
      <c r="W89" s="142" cm="1">
        <f t="array" ref="W89">IF(ISERROR(_xlfn.XLOOKUP(W$5,'QB_Funds Analysis raw'!$B$5:$AC$5, _xlfn.XLOOKUP($A89,'QB_Funds Analysis raw'!$A$6:$A$104,'QB_Funds Analysis raw'!$B$6:$AC$104))),0,(_xlfn.XLOOKUP(W$5,'QB_Funds Analysis raw'!$B$5:$AC$5, _xlfn.XLOOKUP($A89,'QB_Funds Analysis raw'!$A$6:$A$104,'QB_Funds Analysis raw'!$B$6:$AC$104))))</f>
        <v>0</v>
      </c>
      <c r="X89" s="142" cm="1">
        <f t="array" ref="X89">IF(ISERROR(_xlfn.XLOOKUP(X$5,'QB_Funds Analysis raw'!$B$5:$AC$5, _xlfn.XLOOKUP($A89,'QB_Funds Analysis raw'!$A$6:$A$104,'QB_Funds Analysis raw'!$B$6:$AC$104))),0,(_xlfn.XLOOKUP(X$5,'QB_Funds Analysis raw'!$B$5:$AC$5, _xlfn.XLOOKUP($A89,'QB_Funds Analysis raw'!$A$6:$A$104,'QB_Funds Analysis raw'!$B$6:$AC$104))))</f>
        <v>0</v>
      </c>
      <c r="Y89" s="142" cm="1">
        <f t="array" ref="Y89">IF(ISERROR(_xlfn.XLOOKUP(Y$5,'QB_Funds Analysis raw'!$B$5:$AC$5, _xlfn.XLOOKUP($A89,'QB_Funds Analysis raw'!$A$6:$A$104,'QB_Funds Analysis raw'!$B$6:$AC$104))),0,(_xlfn.XLOOKUP(Y$5,'QB_Funds Analysis raw'!$B$5:$AC$5, _xlfn.XLOOKUP($A89,'QB_Funds Analysis raw'!$A$6:$A$104,'QB_Funds Analysis raw'!$B$6:$AC$104))))</f>
        <v>0</v>
      </c>
      <c r="Z89" s="142" cm="1">
        <f t="array" ref="Z89">IF(ISERROR(_xlfn.XLOOKUP(Z$5,'QB_Funds Analysis raw'!$B$5:$AC$5, _xlfn.XLOOKUP($A89,'QB_Funds Analysis raw'!$A$6:$A$104,'QB_Funds Analysis raw'!$B$6:$AC$104))),0,(_xlfn.XLOOKUP(Z$5,'QB_Funds Analysis raw'!$B$5:$AC$5, _xlfn.XLOOKUP($A89,'QB_Funds Analysis raw'!$A$6:$A$104,'QB_Funds Analysis raw'!$B$6:$AC$104))))</f>
        <v>0</v>
      </c>
      <c r="AA89" s="142" cm="1">
        <f t="array" ref="AA89">IF(ISERROR(_xlfn.XLOOKUP(AA$5,'QB_Funds Analysis raw'!$B$5:$AC$5, _xlfn.XLOOKUP($A89,'QB_Funds Analysis raw'!$A$6:$A$104,'QB_Funds Analysis raw'!$B$6:$AC$104))),0,(_xlfn.XLOOKUP(AA$5,'QB_Funds Analysis raw'!$B$5:$AC$5, _xlfn.XLOOKUP($A89,'QB_Funds Analysis raw'!$A$6:$A$104,'QB_Funds Analysis raw'!$B$6:$AC$104))))</f>
        <v>0</v>
      </c>
      <c r="AB89" s="142" cm="1">
        <f t="array" ref="AB89">IF(ISERROR(_xlfn.XLOOKUP(AB$5,'QB_Funds Analysis raw'!$B$5:$AC$5, _xlfn.XLOOKUP($A89,'QB_Funds Analysis raw'!$A$6:$A$104,'QB_Funds Analysis raw'!$B$6:$AC$104))),0,(_xlfn.XLOOKUP(AB$5,'QB_Funds Analysis raw'!$B$5:$AC$5, _xlfn.XLOOKUP($A89,'QB_Funds Analysis raw'!$A$6:$A$104,'QB_Funds Analysis raw'!$B$6:$AC$104))))</f>
        <v>139</v>
      </c>
      <c r="AC89" s="142" cm="1">
        <f t="array" ref="AC89">IF(ISERROR(_xlfn.XLOOKUP(AC$5,'QB_Funds Analysis raw'!$B$5:$AC$5, _xlfn.XLOOKUP($A89,'QB_Funds Analysis raw'!$A$6:$A$104,'QB_Funds Analysis raw'!$B$6:$AC$104))),0,(_xlfn.XLOOKUP(AC$5,'QB_Funds Analysis raw'!$B$5:$AC$5, _xlfn.XLOOKUP($A89,'QB_Funds Analysis raw'!$A$6:$A$104,'QB_Funds Analysis raw'!$B$6:$AC$104))))</f>
        <v>139</v>
      </c>
      <c r="AD89" s="167">
        <f t="shared" si="13"/>
        <v>139</v>
      </c>
      <c r="AE89" s="167">
        <f t="shared" si="22"/>
        <v>0</v>
      </c>
    </row>
    <row r="90" spans="1:31" ht="20.25" customHeight="1" x14ac:dyDescent="0.25">
      <c r="A90" s="2" t="s">
        <v>483</v>
      </c>
      <c r="B90" s="142" cm="1">
        <f t="array" ref="B90">IF(ISERROR(_xlfn.XLOOKUP(B$5,'QB_Funds Analysis raw'!$B$5:$AC$5, _xlfn.XLOOKUP($A90,'QB_Funds Analysis raw'!$A$6:$A$104,'QB_Funds Analysis raw'!$B$6:$AC$104))),0,(_xlfn.XLOOKUP(B$5,'QB_Funds Analysis raw'!$B$5:$AC$5, _xlfn.XLOOKUP($A90,'QB_Funds Analysis raw'!$A$6:$A$104,'QB_Funds Analysis raw'!$B$6:$AC$104))))</f>
        <v>0</v>
      </c>
      <c r="C90" s="142" cm="1">
        <f t="array" ref="C90">IF(ISERROR(_xlfn.XLOOKUP(C$5,'QB_Funds Analysis raw'!$B$5:$AC$5, _xlfn.XLOOKUP($A90,'QB_Funds Analysis raw'!$A$6:$A$104,'QB_Funds Analysis raw'!$B$6:$AC$104))),0,(_xlfn.XLOOKUP(C$5,'QB_Funds Analysis raw'!$B$5:$AC$5, _xlfn.XLOOKUP($A90,'QB_Funds Analysis raw'!$A$6:$A$104,'QB_Funds Analysis raw'!$B$6:$AC$104))))</f>
        <v>0</v>
      </c>
      <c r="D90" s="252" cm="1">
        <f t="array" ref="D90">IF(ISERROR(_xlfn.XLOOKUP(D$5,'QB_Funds Analysis raw'!$B$5:$AC$5, _xlfn.XLOOKUP($A90,'QB_Funds Analysis raw'!$A$6:$A$104,'QB_Funds Analysis raw'!$B$6:$AC$104))),0,(_xlfn.XLOOKUP(D$5,'QB_Funds Analysis raw'!$B$5:$AC$5, _xlfn.XLOOKUP($A90,'QB_Funds Analysis raw'!$A$6:$A$104,'QB_Funds Analysis raw'!$B$6:$AC$104))))</f>
        <v>0</v>
      </c>
      <c r="E90" s="142" cm="1">
        <f t="array" ref="E90">IF(ISERROR(_xlfn.XLOOKUP(E$5,'QB_Funds Analysis raw'!$B$5:$AC$5, _xlfn.XLOOKUP($A90,'QB_Funds Analysis raw'!$A$6:$A$104,'QB_Funds Analysis raw'!$B$6:$AC$104))),0,(_xlfn.XLOOKUP(E$5,'QB_Funds Analysis raw'!$B$5:$AC$5, _xlfn.XLOOKUP($A90,'QB_Funds Analysis raw'!$A$6:$A$104,'QB_Funds Analysis raw'!$B$6:$AC$104))))</f>
        <v>0</v>
      </c>
      <c r="F90" s="142" cm="1">
        <f t="array" ref="F90">IF(ISERROR(_xlfn.XLOOKUP(F$5,'QB_Funds Analysis raw'!$B$5:$AC$5, _xlfn.XLOOKUP($A90,'QB_Funds Analysis raw'!$A$6:$A$104,'QB_Funds Analysis raw'!$B$6:$AC$104))),0,(_xlfn.XLOOKUP(F$5,'QB_Funds Analysis raw'!$B$5:$AC$5, _xlfn.XLOOKUP($A90,'QB_Funds Analysis raw'!$A$6:$A$104,'QB_Funds Analysis raw'!$B$6:$AC$104))))</f>
        <v>0</v>
      </c>
      <c r="G90" s="142" cm="1">
        <f t="array" ref="G90">IF(ISERROR(_xlfn.XLOOKUP(G$5,'QB_Funds Analysis raw'!$B$5:$AC$5, _xlfn.XLOOKUP($A90,'QB_Funds Analysis raw'!$A$6:$A$104,'QB_Funds Analysis raw'!$B$6:$AC$104))),0,(_xlfn.XLOOKUP(G$5,'QB_Funds Analysis raw'!$B$5:$AC$5, _xlfn.XLOOKUP($A90,'QB_Funds Analysis raw'!$A$6:$A$104,'QB_Funds Analysis raw'!$B$6:$AC$104))))</f>
        <v>0</v>
      </c>
      <c r="H90" s="142" cm="1">
        <f t="array" ref="H90">IF(ISERROR(_xlfn.XLOOKUP(H$5,'QB_Funds Analysis raw'!$B$5:$AC$5, _xlfn.XLOOKUP($A90,'QB_Funds Analysis raw'!$A$6:$A$104,'QB_Funds Analysis raw'!$B$6:$AC$104))),0,(_xlfn.XLOOKUP(H$5,'QB_Funds Analysis raw'!$B$5:$AC$5, _xlfn.XLOOKUP($A90,'QB_Funds Analysis raw'!$A$6:$A$104,'QB_Funds Analysis raw'!$B$6:$AC$104))))</f>
        <v>0</v>
      </c>
      <c r="I90" s="142" cm="1">
        <f t="array" ref="I90">IF(ISERROR(_xlfn.XLOOKUP(I$5,'QB_Funds Analysis raw'!$B$5:$AC$5, _xlfn.XLOOKUP($A90,'QB_Funds Analysis raw'!$A$6:$A$104,'QB_Funds Analysis raw'!$B$6:$AC$104))),0,(_xlfn.XLOOKUP(I$5,'QB_Funds Analysis raw'!$B$5:$AC$5, _xlfn.XLOOKUP($A90,'QB_Funds Analysis raw'!$A$6:$A$104,'QB_Funds Analysis raw'!$B$6:$AC$104))))</f>
        <v>0</v>
      </c>
      <c r="J90" s="142" cm="1">
        <f t="array" ref="J90">IF(ISERROR(_xlfn.XLOOKUP(J$5,'QB_Funds Analysis raw'!$B$5:$AC$5, _xlfn.XLOOKUP($A90,'QB_Funds Analysis raw'!$A$6:$A$104,'QB_Funds Analysis raw'!$B$6:$AC$104))),0,(_xlfn.XLOOKUP(J$5,'QB_Funds Analysis raw'!$B$5:$AC$5, _xlfn.XLOOKUP($A90,'QB_Funds Analysis raw'!$A$6:$A$104,'QB_Funds Analysis raw'!$B$6:$AC$104))))</f>
        <v>0</v>
      </c>
      <c r="K90" s="252" cm="1">
        <f t="array" ref="K90">IF(ISERROR(_xlfn.XLOOKUP(K$5,'QB_Funds Analysis raw'!$B$5:$AC$5, _xlfn.XLOOKUP($A90,'QB_Funds Analysis raw'!$A$6:$A$104,'QB_Funds Analysis raw'!$B$6:$AC$104))),0,(_xlfn.XLOOKUP(K$5,'QB_Funds Analysis raw'!$B$5:$AC$5, _xlfn.XLOOKUP($A90,'QB_Funds Analysis raw'!$A$6:$A$104,'QB_Funds Analysis raw'!$B$6:$AC$104))))</f>
        <v>0</v>
      </c>
      <c r="L90" s="142" cm="1">
        <f t="array" ref="L90">IF(ISERROR(_xlfn.XLOOKUP(L$5,'QB_Funds Analysis raw'!$B$5:$AC$5, _xlfn.XLOOKUP($A90,'QB_Funds Analysis raw'!$A$6:$A$104,'QB_Funds Analysis raw'!$B$6:$AC$104))),0,(_xlfn.XLOOKUP(L$5,'QB_Funds Analysis raw'!$B$5:$AC$5, _xlfn.XLOOKUP($A90,'QB_Funds Analysis raw'!$A$6:$A$104,'QB_Funds Analysis raw'!$B$6:$AC$104))))</f>
        <v>0</v>
      </c>
      <c r="M90" s="142" cm="1">
        <f t="array" ref="M90">IF(ISERROR(_xlfn.XLOOKUP(M$5,'QB_Funds Analysis raw'!$B$5:$AC$5, _xlfn.XLOOKUP($A90,'QB_Funds Analysis raw'!$A$6:$A$104,'QB_Funds Analysis raw'!$B$6:$AC$104))),0,(_xlfn.XLOOKUP(M$5,'QB_Funds Analysis raw'!$B$5:$AC$5, _xlfn.XLOOKUP($A90,'QB_Funds Analysis raw'!$A$6:$A$104,'QB_Funds Analysis raw'!$B$6:$AC$104))))</f>
        <v>0</v>
      </c>
      <c r="N90" s="252" cm="1">
        <f t="array" ref="N90">IF(ISERROR(_xlfn.XLOOKUP(N$5,'QB_Funds Analysis raw'!$B$5:$AC$5, _xlfn.XLOOKUP($A90,'QB_Funds Analysis raw'!$A$6:$A$104,'QB_Funds Analysis raw'!$B$6:$AC$104))),0,(_xlfn.XLOOKUP(N$5,'QB_Funds Analysis raw'!$B$5:$AC$5, _xlfn.XLOOKUP($A90,'QB_Funds Analysis raw'!$A$6:$A$104,'QB_Funds Analysis raw'!$B$6:$AC$104))))</f>
        <v>0</v>
      </c>
      <c r="O90" s="252" cm="1">
        <f t="array" ref="O90">IF(ISERROR(_xlfn.XLOOKUP(O$5,'QB_Funds Analysis raw'!$B$5:$AC$5, _xlfn.XLOOKUP($A90,'QB_Funds Analysis raw'!$A$6:$A$104,'QB_Funds Analysis raw'!$B$6:$AC$104))),0,(_xlfn.XLOOKUP(O$5,'QB_Funds Analysis raw'!$B$5:$AC$5, _xlfn.XLOOKUP($A90,'QB_Funds Analysis raw'!$A$6:$A$104,'QB_Funds Analysis raw'!$B$6:$AC$104))))</f>
        <v>0</v>
      </c>
      <c r="P90" s="142" cm="1">
        <f t="array" ref="P90">IF(ISERROR(_xlfn.XLOOKUP(P$5,'QB_Funds Analysis raw'!$B$5:$AC$5, _xlfn.XLOOKUP($A90,'QB_Funds Analysis raw'!$A$6:$A$104,'QB_Funds Analysis raw'!$B$6:$AC$104))),0,(_xlfn.XLOOKUP(P$5,'QB_Funds Analysis raw'!$B$5:$AC$5, _xlfn.XLOOKUP($A90,'QB_Funds Analysis raw'!$A$6:$A$104,'QB_Funds Analysis raw'!$B$6:$AC$104))))</f>
        <v>0</v>
      </c>
      <c r="Q90" s="247" cm="1">
        <f t="array" ref="Q90">IF(ISERROR(_xlfn.XLOOKUP(Q$5,'QB_Funds Analysis raw'!$B$5:$AC$5, _xlfn.XLOOKUP($A90,'QB_Funds Analysis raw'!$A$6:$A$104,'QB_Funds Analysis raw'!$B$6:$AC$104))),0,(_xlfn.XLOOKUP(Q$5,'QB_Funds Analysis raw'!$B$5:$AC$5, _xlfn.XLOOKUP($A90,'QB_Funds Analysis raw'!$A$6:$A$104,'QB_Funds Analysis raw'!$B$6:$AC$104))))</f>
        <v>0</v>
      </c>
      <c r="R90" s="142" cm="1">
        <f t="array" ref="R90">IF(ISERROR(_xlfn.XLOOKUP(R$5,'QB_Funds Analysis raw'!$B$5:$AC$5, _xlfn.XLOOKUP($A90,'QB_Funds Analysis raw'!$A$6:$A$104,'QB_Funds Analysis raw'!$B$6:$AC$104))),0,(_xlfn.XLOOKUP(R$5,'QB_Funds Analysis raw'!$B$5:$AC$5, _xlfn.XLOOKUP($A90,'QB_Funds Analysis raw'!$A$6:$A$104,'QB_Funds Analysis raw'!$B$6:$AC$104))))</f>
        <v>0</v>
      </c>
      <c r="S90" s="142" cm="1">
        <f t="array" ref="S90">IF(ISERROR(_xlfn.XLOOKUP(S$5,'QB_Funds Analysis raw'!$B$5:$AC$5, _xlfn.XLOOKUP($A90,'QB_Funds Analysis raw'!$A$6:$A$104,'QB_Funds Analysis raw'!$B$6:$AC$104))),0,(_xlfn.XLOOKUP(S$5,'QB_Funds Analysis raw'!$B$5:$AC$5, _xlfn.XLOOKUP($A90,'QB_Funds Analysis raw'!$A$6:$A$104,'QB_Funds Analysis raw'!$B$6:$AC$104))))</f>
        <v>0</v>
      </c>
      <c r="T90" s="142" cm="1">
        <f t="array" ref="T90">IF(ISERROR(_xlfn.XLOOKUP(T$5,'QB_Funds Analysis raw'!$B$5:$AC$5, _xlfn.XLOOKUP($A90,'QB_Funds Analysis raw'!$A$6:$A$104,'QB_Funds Analysis raw'!$B$6:$AC$104))),0,(_xlfn.XLOOKUP(T$5,'QB_Funds Analysis raw'!$B$5:$AC$5, _xlfn.XLOOKUP($A90,'QB_Funds Analysis raw'!$A$6:$A$104,'QB_Funds Analysis raw'!$B$6:$AC$104))))</f>
        <v>0</v>
      </c>
      <c r="U90" s="142" cm="1">
        <f t="array" ref="U90">IF(ISERROR(_xlfn.XLOOKUP(U$5,'QB_Funds Analysis raw'!$B$5:$AC$5, _xlfn.XLOOKUP($A90,'QB_Funds Analysis raw'!$A$6:$A$104,'QB_Funds Analysis raw'!$B$6:$AC$104))),0,(_xlfn.XLOOKUP(U$5,'QB_Funds Analysis raw'!$B$5:$AC$5, _xlfn.XLOOKUP($A90,'QB_Funds Analysis raw'!$A$6:$A$104,'QB_Funds Analysis raw'!$B$6:$AC$104))))</f>
        <v>0</v>
      </c>
      <c r="V90" s="142" cm="1">
        <f t="array" ref="V90">IF(ISERROR(_xlfn.XLOOKUP(V$5,'QB_Funds Analysis raw'!$B$5:$AC$5, _xlfn.XLOOKUP($A90,'QB_Funds Analysis raw'!$A$6:$A$104,'QB_Funds Analysis raw'!$B$6:$AC$104))),0,(_xlfn.XLOOKUP(V$5,'QB_Funds Analysis raw'!$B$5:$AC$5, _xlfn.XLOOKUP($A90,'QB_Funds Analysis raw'!$A$6:$A$104,'QB_Funds Analysis raw'!$B$6:$AC$104))))</f>
        <v>0</v>
      </c>
      <c r="W90" s="142" cm="1">
        <f t="array" ref="W90">IF(ISERROR(_xlfn.XLOOKUP(W$5,'QB_Funds Analysis raw'!$B$5:$AC$5, _xlfn.XLOOKUP($A90,'QB_Funds Analysis raw'!$A$6:$A$104,'QB_Funds Analysis raw'!$B$6:$AC$104))),0,(_xlfn.XLOOKUP(W$5,'QB_Funds Analysis raw'!$B$5:$AC$5, _xlfn.XLOOKUP($A90,'QB_Funds Analysis raw'!$A$6:$A$104,'QB_Funds Analysis raw'!$B$6:$AC$104))))</f>
        <v>0</v>
      </c>
      <c r="X90" s="142" cm="1">
        <f t="array" ref="X90">IF(ISERROR(_xlfn.XLOOKUP(X$5,'QB_Funds Analysis raw'!$B$5:$AC$5, _xlfn.XLOOKUP($A90,'QB_Funds Analysis raw'!$A$6:$A$104,'QB_Funds Analysis raw'!$B$6:$AC$104))),0,(_xlfn.XLOOKUP(X$5,'QB_Funds Analysis raw'!$B$5:$AC$5, _xlfn.XLOOKUP($A90,'QB_Funds Analysis raw'!$A$6:$A$104,'QB_Funds Analysis raw'!$B$6:$AC$104))))</f>
        <v>0</v>
      </c>
      <c r="Y90" s="142" cm="1">
        <f t="array" ref="Y90">IF(ISERROR(_xlfn.XLOOKUP(Y$5,'QB_Funds Analysis raw'!$B$5:$AC$5, _xlfn.XLOOKUP($A90,'QB_Funds Analysis raw'!$A$6:$A$104,'QB_Funds Analysis raw'!$B$6:$AC$104))),0,(_xlfn.XLOOKUP(Y$5,'QB_Funds Analysis raw'!$B$5:$AC$5, _xlfn.XLOOKUP($A90,'QB_Funds Analysis raw'!$A$6:$A$104,'QB_Funds Analysis raw'!$B$6:$AC$104))))</f>
        <v>0</v>
      </c>
      <c r="Z90" s="142" cm="1">
        <f t="array" ref="Z90">IF(ISERROR(_xlfn.XLOOKUP(Z$5,'QB_Funds Analysis raw'!$B$5:$AC$5, _xlfn.XLOOKUP($A90,'QB_Funds Analysis raw'!$A$6:$A$104,'QB_Funds Analysis raw'!$B$6:$AC$104))),0,(_xlfn.XLOOKUP(Z$5,'QB_Funds Analysis raw'!$B$5:$AC$5, _xlfn.XLOOKUP($A90,'QB_Funds Analysis raw'!$A$6:$A$104,'QB_Funds Analysis raw'!$B$6:$AC$104))))</f>
        <v>0</v>
      </c>
      <c r="AA90" s="142" cm="1">
        <f t="array" ref="AA90">IF(ISERROR(_xlfn.XLOOKUP(AA$5,'QB_Funds Analysis raw'!$B$5:$AC$5, _xlfn.XLOOKUP($A90,'QB_Funds Analysis raw'!$A$6:$A$104,'QB_Funds Analysis raw'!$B$6:$AC$104))),0,(_xlfn.XLOOKUP(AA$5,'QB_Funds Analysis raw'!$B$5:$AC$5, _xlfn.XLOOKUP($A90,'QB_Funds Analysis raw'!$A$6:$A$104,'QB_Funds Analysis raw'!$B$6:$AC$104))))</f>
        <v>0</v>
      </c>
      <c r="AB90" s="142" cm="1">
        <f t="array" ref="AB90">IF(ISERROR(_xlfn.XLOOKUP(AB$5,'QB_Funds Analysis raw'!$B$5:$AC$5, _xlfn.XLOOKUP($A90,'QB_Funds Analysis raw'!$A$6:$A$104,'QB_Funds Analysis raw'!$B$6:$AC$104))),0,(_xlfn.XLOOKUP(AB$5,'QB_Funds Analysis raw'!$B$5:$AC$5, _xlfn.XLOOKUP($A90,'QB_Funds Analysis raw'!$A$6:$A$104,'QB_Funds Analysis raw'!$B$6:$AC$104))))</f>
        <v>-225.85</v>
      </c>
      <c r="AC90" s="142" cm="1">
        <f t="array" ref="AC90">IF(ISERROR(_xlfn.XLOOKUP(AC$5,'QB_Funds Analysis raw'!$B$5:$AC$5, _xlfn.XLOOKUP($A90,'QB_Funds Analysis raw'!$A$6:$A$104,'QB_Funds Analysis raw'!$B$6:$AC$104))),0,(_xlfn.XLOOKUP(AC$5,'QB_Funds Analysis raw'!$B$5:$AC$5, _xlfn.XLOOKUP($A90,'QB_Funds Analysis raw'!$A$6:$A$104,'QB_Funds Analysis raw'!$B$6:$AC$104))))</f>
        <v>-225.85</v>
      </c>
      <c r="AD90" s="167">
        <f t="shared" si="13"/>
        <v>-225.85</v>
      </c>
      <c r="AE90" s="167">
        <f t="shared" si="22"/>
        <v>0</v>
      </c>
    </row>
    <row r="91" spans="1:31" ht="20.25" customHeight="1" x14ac:dyDescent="0.25">
      <c r="A91" s="2" t="s">
        <v>88</v>
      </c>
      <c r="B91" s="142" cm="1">
        <f t="array" ref="B91">IF(ISERROR(_xlfn.XLOOKUP(B$5,'QB_Funds Analysis raw'!$B$5:$AC$5, _xlfn.XLOOKUP($A91,'QB_Funds Analysis raw'!$A$6:$A$104,'QB_Funds Analysis raw'!$B$6:$AC$104))),0,(_xlfn.XLOOKUP(B$5,'QB_Funds Analysis raw'!$B$5:$AC$5, _xlfn.XLOOKUP($A91,'QB_Funds Analysis raw'!$A$6:$A$104,'QB_Funds Analysis raw'!$B$6:$AC$104))))</f>
        <v>0</v>
      </c>
      <c r="C91" s="142" cm="1">
        <f t="array" ref="C91">IF(ISERROR(_xlfn.XLOOKUP(C$5,'QB_Funds Analysis raw'!$B$5:$AC$5, _xlfn.XLOOKUP($A91,'QB_Funds Analysis raw'!$A$6:$A$104,'QB_Funds Analysis raw'!$B$6:$AC$104))),0,(_xlfn.XLOOKUP(C$5,'QB_Funds Analysis raw'!$B$5:$AC$5, _xlfn.XLOOKUP($A91,'QB_Funds Analysis raw'!$A$6:$A$104,'QB_Funds Analysis raw'!$B$6:$AC$104))))</f>
        <v>0</v>
      </c>
      <c r="D91" s="252" cm="1">
        <f t="array" ref="D91">IF(ISERROR(_xlfn.XLOOKUP(D$5,'QB_Funds Analysis raw'!$B$5:$AC$5, _xlfn.XLOOKUP($A91,'QB_Funds Analysis raw'!$A$6:$A$104,'QB_Funds Analysis raw'!$B$6:$AC$104))),0,(_xlfn.XLOOKUP(D$5,'QB_Funds Analysis raw'!$B$5:$AC$5, _xlfn.XLOOKUP($A91,'QB_Funds Analysis raw'!$A$6:$A$104,'QB_Funds Analysis raw'!$B$6:$AC$104))))</f>
        <v>0</v>
      </c>
      <c r="E91" s="142" cm="1">
        <f t="array" ref="E91">IF(ISERROR(_xlfn.XLOOKUP(E$5,'QB_Funds Analysis raw'!$B$5:$AC$5, _xlfn.XLOOKUP($A91,'QB_Funds Analysis raw'!$A$6:$A$104,'QB_Funds Analysis raw'!$B$6:$AC$104))),0,(_xlfn.XLOOKUP(E$5,'QB_Funds Analysis raw'!$B$5:$AC$5, _xlfn.XLOOKUP($A91,'QB_Funds Analysis raw'!$A$6:$A$104,'QB_Funds Analysis raw'!$B$6:$AC$104))))</f>
        <v>0</v>
      </c>
      <c r="F91" s="142" cm="1">
        <f t="array" ref="F91">IF(ISERROR(_xlfn.XLOOKUP(F$5,'QB_Funds Analysis raw'!$B$5:$AC$5, _xlfn.XLOOKUP($A91,'QB_Funds Analysis raw'!$A$6:$A$104,'QB_Funds Analysis raw'!$B$6:$AC$104))),0,(_xlfn.XLOOKUP(F$5,'QB_Funds Analysis raw'!$B$5:$AC$5, _xlfn.XLOOKUP($A91,'QB_Funds Analysis raw'!$A$6:$A$104,'QB_Funds Analysis raw'!$B$6:$AC$104))))</f>
        <v>0</v>
      </c>
      <c r="G91" s="142" cm="1">
        <f t="array" ref="G91">IF(ISERROR(_xlfn.XLOOKUP(G$5,'QB_Funds Analysis raw'!$B$5:$AC$5, _xlfn.XLOOKUP($A91,'QB_Funds Analysis raw'!$A$6:$A$104,'QB_Funds Analysis raw'!$B$6:$AC$104))),0,(_xlfn.XLOOKUP(G$5,'QB_Funds Analysis raw'!$B$5:$AC$5, _xlfn.XLOOKUP($A91,'QB_Funds Analysis raw'!$A$6:$A$104,'QB_Funds Analysis raw'!$B$6:$AC$104))))</f>
        <v>0</v>
      </c>
      <c r="H91" s="142" cm="1">
        <f t="array" ref="H91">IF(ISERROR(_xlfn.XLOOKUP(H$5,'QB_Funds Analysis raw'!$B$5:$AC$5, _xlfn.XLOOKUP($A91,'QB_Funds Analysis raw'!$A$6:$A$104,'QB_Funds Analysis raw'!$B$6:$AC$104))),0,(_xlfn.XLOOKUP(H$5,'QB_Funds Analysis raw'!$B$5:$AC$5, _xlfn.XLOOKUP($A91,'QB_Funds Analysis raw'!$A$6:$A$104,'QB_Funds Analysis raw'!$B$6:$AC$104))))</f>
        <v>0</v>
      </c>
      <c r="I91" s="142" cm="1">
        <f t="array" ref="I91">IF(ISERROR(_xlfn.XLOOKUP(I$5,'QB_Funds Analysis raw'!$B$5:$AC$5, _xlfn.XLOOKUP($A91,'QB_Funds Analysis raw'!$A$6:$A$104,'QB_Funds Analysis raw'!$B$6:$AC$104))),0,(_xlfn.XLOOKUP(I$5,'QB_Funds Analysis raw'!$B$5:$AC$5, _xlfn.XLOOKUP($A91,'QB_Funds Analysis raw'!$A$6:$A$104,'QB_Funds Analysis raw'!$B$6:$AC$104))))</f>
        <v>0</v>
      </c>
      <c r="J91" s="142" cm="1">
        <f t="array" ref="J91">IF(ISERROR(_xlfn.XLOOKUP(J$5,'QB_Funds Analysis raw'!$B$5:$AC$5, _xlfn.XLOOKUP($A91,'QB_Funds Analysis raw'!$A$6:$A$104,'QB_Funds Analysis raw'!$B$6:$AC$104))),0,(_xlfn.XLOOKUP(J$5,'QB_Funds Analysis raw'!$B$5:$AC$5, _xlfn.XLOOKUP($A91,'QB_Funds Analysis raw'!$A$6:$A$104,'QB_Funds Analysis raw'!$B$6:$AC$104))))</f>
        <v>38.380000000000003</v>
      </c>
      <c r="K91" s="252" cm="1">
        <f t="array" ref="K91">IF(ISERROR(_xlfn.XLOOKUP(K$5,'QB_Funds Analysis raw'!$B$5:$AC$5, _xlfn.XLOOKUP($A91,'QB_Funds Analysis raw'!$A$6:$A$104,'QB_Funds Analysis raw'!$B$6:$AC$104))),0,(_xlfn.XLOOKUP(K$5,'QB_Funds Analysis raw'!$B$5:$AC$5, _xlfn.XLOOKUP($A91,'QB_Funds Analysis raw'!$A$6:$A$104,'QB_Funds Analysis raw'!$B$6:$AC$104))))</f>
        <v>0</v>
      </c>
      <c r="L91" s="142" cm="1">
        <f t="array" ref="L91">IF(ISERROR(_xlfn.XLOOKUP(L$5,'QB_Funds Analysis raw'!$B$5:$AC$5, _xlfn.XLOOKUP($A91,'QB_Funds Analysis raw'!$A$6:$A$104,'QB_Funds Analysis raw'!$B$6:$AC$104))),0,(_xlfn.XLOOKUP(L$5,'QB_Funds Analysis raw'!$B$5:$AC$5, _xlfn.XLOOKUP($A91,'QB_Funds Analysis raw'!$A$6:$A$104,'QB_Funds Analysis raw'!$B$6:$AC$104))))</f>
        <v>0</v>
      </c>
      <c r="M91" s="142" cm="1">
        <f t="array" ref="M91">IF(ISERROR(_xlfn.XLOOKUP(M$5,'QB_Funds Analysis raw'!$B$5:$AC$5, _xlfn.XLOOKUP($A91,'QB_Funds Analysis raw'!$A$6:$A$104,'QB_Funds Analysis raw'!$B$6:$AC$104))),0,(_xlfn.XLOOKUP(M$5,'QB_Funds Analysis raw'!$B$5:$AC$5, _xlfn.XLOOKUP($A91,'QB_Funds Analysis raw'!$A$6:$A$104,'QB_Funds Analysis raw'!$B$6:$AC$104))))</f>
        <v>0</v>
      </c>
      <c r="N91" s="252" cm="1">
        <f t="array" ref="N91">IF(ISERROR(_xlfn.XLOOKUP(N$5,'QB_Funds Analysis raw'!$B$5:$AC$5, _xlfn.XLOOKUP($A91,'QB_Funds Analysis raw'!$A$6:$A$104,'QB_Funds Analysis raw'!$B$6:$AC$104))),0,(_xlfn.XLOOKUP(N$5,'QB_Funds Analysis raw'!$B$5:$AC$5, _xlfn.XLOOKUP($A91,'QB_Funds Analysis raw'!$A$6:$A$104,'QB_Funds Analysis raw'!$B$6:$AC$104))))</f>
        <v>0</v>
      </c>
      <c r="O91" s="252" cm="1">
        <f t="array" ref="O91">IF(ISERROR(_xlfn.XLOOKUP(O$5,'QB_Funds Analysis raw'!$B$5:$AC$5, _xlfn.XLOOKUP($A91,'QB_Funds Analysis raw'!$A$6:$A$104,'QB_Funds Analysis raw'!$B$6:$AC$104))),0,(_xlfn.XLOOKUP(O$5,'QB_Funds Analysis raw'!$B$5:$AC$5, _xlfn.XLOOKUP($A91,'QB_Funds Analysis raw'!$A$6:$A$104,'QB_Funds Analysis raw'!$B$6:$AC$104))))</f>
        <v>0</v>
      </c>
      <c r="P91" s="142" cm="1">
        <f t="array" ref="P91">IF(ISERROR(_xlfn.XLOOKUP(P$5,'QB_Funds Analysis raw'!$B$5:$AC$5, _xlfn.XLOOKUP($A91,'QB_Funds Analysis raw'!$A$6:$A$104,'QB_Funds Analysis raw'!$B$6:$AC$104))),0,(_xlfn.XLOOKUP(P$5,'QB_Funds Analysis raw'!$B$5:$AC$5, _xlfn.XLOOKUP($A91,'QB_Funds Analysis raw'!$A$6:$A$104,'QB_Funds Analysis raw'!$B$6:$AC$104))))</f>
        <v>0</v>
      </c>
      <c r="Q91" s="247" cm="1">
        <f t="array" ref="Q91">IF(ISERROR(_xlfn.XLOOKUP(Q$5,'QB_Funds Analysis raw'!$B$5:$AC$5, _xlfn.XLOOKUP($A91,'QB_Funds Analysis raw'!$A$6:$A$104,'QB_Funds Analysis raw'!$B$6:$AC$104))),0,(_xlfn.XLOOKUP(Q$5,'QB_Funds Analysis raw'!$B$5:$AC$5, _xlfn.XLOOKUP($A91,'QB_Funds Analysis raw'!$A$6:$A$104,'QB_Funds Analysis raw'!$B$6:$AC$104))))</f>
        <v>38.380000000000003</v>
      </c>
      <c r="R91" s="142" cm="1">
        <f t="array" ref="R91">IF(ISERROR(_xlfn.XLOOKUP(R$5,'QB_Funds Analysis raw'!$B$5:$AC$5, _xlfn.XLOOKUP($A91,'QB_Funds Analysis raw'!$A$6:$A$104,'QB_Funds Analysis raw'!$B$6:$AC$104))),0,(_xlfn.XLOOKUP(R$5,'QB_Funds Analysis raw'!$B$5:$AC$5, _xlfn.XLOOKUP($A91,'QB_Funds Analysis raw'!$A$6:$A$104,'QB_Funds Analysis raw'!$B$6:$AC$104))))</f>
        <v>0</v>
      </c>
      <c r="S91" s="142" cm="1">
        <f t="array" ref="S91">IF(ISERROR(_xlfn.XLOOKUP(S$5,'QB_Funds Analysis raw'!$B$5:$AC$5, _xlfn.XLOOKUP($A91,'QB_Funds Analysis raw'!$A$6:$A$104,'QB_Funds Analysis raw'!$B$6:$AC$104))),0,(_xlfn.XLOOKUP(S$5,'QB_Funds Analysis raw'!$B$5:$AC$5, _xlfn.XLOOKUP($A91,'QB_Funds Analysis raw'!$A$6:$A$104,'QB_Funds Analysis raw'!$B$6:$AC$104))))</f>
        <v>0</v>
      </c>
      <c r="T91" s="142" cm="1">
        <f t="array" ref="T91">IF(ISERROR(_xlfn.XLOOKUP(T$5,'QB_Funds Analysis raw'!$B$5:$AC$5, _xlfn.XLOOKUP($A91,'QB_Funds Analysis raw'!$A$6:$A$104,'QB_Funds Analysis raw'!$B$6:$AC$104))),0,(_xlfn.XLOOKUP(T$5,'QB_Funds Analysis raw'!$B$5:$AC$5, _xlfn.XLOOKUP($A91,'QB_Funds Analysis raw'!$A$6:$A$104,'QB_Funds Analysis raw'!$B$6:$AC$104))))</f>
        <v>0</v>
      </c>
      <c r="U91" s="142" cm="1">
        <f t="array" ref="U91">IF(ISERROR(_xlfn.XLOOKUP(U$5,'QB_Funds Analysis raw'!$B$5:$AC$5, _xlfn.XLOOKUP($A91,'QB_Funds Analysis raw'!$A$6:$A$104,'QB_Funds Analysis raw'!$B$6:$AC$104))),0,(_xlfn.XLOOKUP(U$5,'QB_Funds Analysis raw'!$B$5:$AC$5, _xlfn.XLOOKUP($A91,'QB_Funds Analysis raw'!$A$6:$A$104,'QB_Funds Analysis raw'!$B$6:$AC$104))))</f>
        <v>0</v>
      </c>
      <c r="V91" s="142" cm="1">
        <f t="array" ref="V91">IF(ISERROR(_xlfn.XLOOKUP(V$5,'QB_Funds Analysis raw'!$B$5:$AC$5, _xlfn.XLOOKUP($A91,'QB_Funds Analysis raw'!$A$6:$A$104,'QB_Funds Analysis raw'!$B$6:$AC$104))),0,(_xlfn.XLOOKUP(V$5,'QB_Funds Analysis raw'!$B$5:$AC$5, _xlfn.XLOOKUP($A91,'QB_Funds Analysis raw'!$A$6:$A$104,'QB_Funds Analysis raw'!$B$6:$AC$104))))</f>
        <v>0</v>
      </c>
      <c r="W91" s="142" cm="1">
        <f t="array" ref="W91">IF(ISERROR(_xlfn.XLOOKUP(W$5,'QB_Funds Analysis raw'!$B$5:$AC$5, _xlfn.XLOOKUP($A91,'QB_Funds Analysis raw'!$A$6:$A$104,'QB_Funds Analysis raw'!$B$6:$AC$104))),0,(_xlfn.XLOOKUP(W$5,'QB_Funds Analysis raw'!$B$5:$AC$5, _xlfn.XLOOKUP($A91,'QB_Funds Analysis raw'!$A$6:$A$104,'QB_Funds Analysis raw'!$B$6:$AC$104))))</f>
        <v>0</v>
      </c>
      <c r="X91" s="142" cm="1">
        <f t="array" ref="X91">IF(ISERROR(_xlfn.XLOOKUP(X$5,'QB_Funds Analysis raw'!$B$5:$AC$5, _xlfn.XLOOKUP($A91,'QB_Funds Analysis raw'!$A$6:$A$104,'QB_Funds Analysis raw'!$B$6:$AC$104))),0,(_xlfn.XLOOKUP(X$5,'QB_Funds Analysis raw'!$B$5:$AC$5, _xlfn.XLOOKUP($A91,'QB_Funds Analysis raw'!$A$6:$A$104,'QB_Funds Analysis raw'!$B$6:$AC$104))))</f>
        <v>0</v>
      </c>
      <c r="Y91" s="142" cm="1">
        <f t="array" ref="Y91">IF(ISERROR(_xlfn.XLOOKUP(Y$5,'QB_Funds Analysis raw'!$B$5:$AC$5, _xlfn.XLOOKUP($A91,'QB_Funds Analysis raw'!$A$6:$A$104,'QB_Funds Analysis raw'!$B$6:$AC$104))),0,(_xlfn.XLOOKUP(Y$5,'QB_Funds Analysis raw'!$B$5:$AC$5, _xlfn.XLOOKUP($A91,'QB_Funds Analysis raw'!$A$6:$A$104,'QB_Funds Analysis raw'!$B$6:$AC$104))))</f>
        <v>0</v>
      </c>
      <c r="Z91" s="142" cm="1">
        <f t="array" ref="Z91">IF(ISERROR(_xlfn.XLOOKUP(Z$5,'QB_Funds Analysis raw'!$B$5:$AC$5, _xlfn.XLOOKUP($A91,'QB_Funds Analysis raw'!$A$6:$A$104,'QB_Funds Analysis raw'!$B$6:$AC$104))),0,(_xlfn.XLOOKUP(Z$5,'QB_Funds Analysis raw'!$B$5:$AC$5, _xlfn.XLOOKUP($A91,'QB_Funds Analysis raw'!$A$6:$A$104,'QB_Funds Analysis raw'!$B$6:$AC$104))))</f>
        <v>0</v>
      </c>
      <c r="AA91" s="142" cm="1">
        <f t="array" ref="AA91">IF(ISERROR(_xlfn.XLOOKUP(AA$5,'QB_Funds Analysis raw'!$B$5:$AC$5, _xlfn.XLOOKUP($A91,'QB_Funds Analysis raw'!$A$6:$A$104,'QB_Funds Analysis raw'!$B$6:$AC$104))),0,(_xlfn.XLOOKUP(AA$5,'QB_Funds Analysis raw'!$B$5:$AC$5, _xlfn.XLOOKUP($A91,'QB_Funds Analysis raw'!$A$6:$A$104,'QB_Funds Analysis raw'!$B$6:$AC$104))))</f>
        <v>0</v>
      </c>
      <c r="AB91" s="142" cm="1">
        <f t="array" ref="AB91">IF(ISERROR(_xlfn.XLOOKUP(AB$5,'QB_Funds Analysis raw'!$B$5:$AC$5, _xlfn.XLOOKUP($A91,'QB_Funds Analysis raw'!$A$6:$A$104,'QB_Funds Analysis raw'!$B$6:$AC$104))),0,(_xlfn.XLOOKUP(AB$5,'QB_Funds Analysis raw'!$B$5:$AC$5, _xlfn.XLOOKUP($A91,'QB_Funds Analysis raw'!$A$6:$A$104,'QB_Funds Analysis raw'!$B$6:$AC$104))))</f>
        <v>12.86</v>
      </c>
      <c r="AC91" s="142" cm="1">
        <f t="array" ref="AC91">IF(ISERROR(_xlfn.XLOOKUP(AC$5,'QB_Funds Analysis raw'!$B$5:$AC$5, _xlfn.XLOOKUP($A91,'QB_Funds Analysis raw'!$A$6:$A$104,'QB_Funds Analysis raw'!$B$6:$AC$104))),0,(_xlfn.XLOOKUP(AC$5,'QB_Funds Analysis raw'!$B$5:$AC$5, _xlfn.XLOOKUP($A91,'QB_Funds Analysis raw'!$A$6:$A$104,'QB_Funds Analysis raw'!$B$6:$AC$104))))</f>
        <v>51.24</v>
      </c>
      <c r="AD91" s="167">
        <f t="shared" si="13"/>
        <v>51.24</v>
      </c>
      <c r="AE91" s="167">
        <f t="shared" si="22"/>
        <v>0</v>
      </c>
    </row>
    <row r="92" spans="1:31" ht="20.25" customHeight="1" x14ac:dyDescent="0.25">
      <c r="A92" s="135" t="s">
        <v>89</v>
      </c>
      <c r="B92" s="153">
        <f t="shared" ref="B92" si="26">((((((((((B74)+(B75))+(B76))+(B77))+(B78))+(B79))+(B80))+(B81))+(B88))+(B89))+(B91)+B90+B84</f>
        <v>0</v>
      </c>
      <c r="C92" s="153">
        <f t="shared" ref="C92:AC92" si="27">((((((((((C74)+(C75))+(C76))+(C77))+(C78))+(C79))+(C80))+(C81))+(C88))+(C89))+(C91)+C90+C84</f>
        <v>0</v>
      </c>
      <c r="D92" s="253">
        <f t="shared" si="27"/>
        <v>0</v>
      </c>
      <c r="E92" s="153">
        <f t="shared" si="27"/>
        <v>0</v>
      </c>
      <c r="F92" s="153">
        <f t="shared" si="27"/>
        <v>0</v>
      </c>
      <c r="G92" s="153">
        <f t="shared" si="27"/>
        <v>0</v>
      </c>
      <c r="H92" s="153">
        <f t="shared" si="27"/>
        <v>95.02</v>
      </c>
      <c r="I92" s="153">
        <f t="shared" si="27"/>
        <v>0</v>
      </c>
      <c r="J92" s="153">
        <f t="shared" si="27"/>
        <v>38.380000000000003</v>
      </c>
      <c r="K92" s="253">
        <f t="shared" si="27"/>
        <v>912.72</v>
      </c>
      <c r="L92" s="153">
        <f t="shared" si="27"/>
        <v>0</v>
      </c>
      <c r="M92" s="153">
        <f t="shared" si="27"/>
        <v>0</v>
      </c>
      <c r="N92" s="253">
        <f t="shared" si="27"/>
        <v>0</v>
      </c>
      <c r="O92" s="253">
        <f t="shared" si="27"/>
        <v>0</v>
      </c>
      <c r="P92" s="153">
        <f t="shared" si="27"/>
        <v>0</v>
      </c>
      <c r="Q92" s="244">
        <f t="shared" si="27"/>
        <v>951.1</v>
      </c>
      <c r="R92" s="153">
        <f t="shared" si="27"/>
        <v>0</v>
      </c>
      <c r="S92" s="153">
        <f t="shared" si="27"/>
        <v>0</v>
      </c>
      <c r="T92" s="153">
        <f>((((((((((T74)+(T75))+(T76))+(T77))+(T78))+(T79))+(T80))+(T81))+(T88))+(T89))+(T91)+T90+T84</f>
        <v>0</v>
      </c>
      <c r="U92" s="153">
        <f t="shared" si="27"/>
        <v>0</v>
      </c>
      <c r="V92" s="153">
        <f t="shared" si="27"/>
        <v>0</v>
      </c>
      <c r="W92" s="153">
        <f t="shared" si="27"/>
        <v>0</v>
      </c>
      <c r="X92" s="153">
        <f t="shared" si="27"/>
        <v>0</v>
      </c>
      <c r="Y92" s="153">
        <f t="shared" si="27"/>
        <v>0</v>
      </c>
      <c r="Z92" s="153">
        <f t="shared" si="27"/>
        <v>0</v>
      </c>
      <c r="AA92" s="153">
        <f t="shared" si="27"/>
        <v>0</v>
      </c>
      <c r="AB92" s="153">
        <f>((((((((((AB74)+(AB75))+(AB76))+(AB77))+(AB78))+(AB79))+(AB80))+(AB81))+(AB88))+(AB89))+(AB91)+AB90+AB84</f>
        <v>6094.1</v>
      </c>
      <c r="AC92" s="153">
        <f t="shared" si="27"/>
        <v>7045.2</v>
      </c>
      <c r="AD92" s="167">
        <f t="shared" si="13"/>
        <v>7045.2000000000007</v>
      </c>
      <c r="AE92" s="167">
        <f t="shared" si="22"/>
        <v>0</v>
      </c>
    </row>
    <row r="93" spans="1:31" ht="20.25" customHeight="1" x14ac:dyDescent="0.25">
      <c r="A93" s="137" t="s">
        <v>90</v>
      </c>
      <c r="B93" s="150"/>
      <c r="C93" s="150"/>
      <c r="D93" s="252"/>
      <c r="E93" s="150"/>
      <c r="F93" s="150"/>
      <c r="G93" s="150"/>
      <c r="H93" s="150"/>
      <c r="I93" s="150"/>
      <c r="J93" s="150"/>
      <c r="K93" s="252"/>
      <c r="L93" s="150"/>
      <c r="M93" s="150"/>
      <c r="N93" s="252"/>
      <c r="O93" s="252"/>
      <c r="P93" s="150"/>
      <c r="Q93" s="247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67">
        <f t="shared" si="13"/>
        <v>0</v>
      </c>
      <c r="AE93" s="167">
        <f t="shared" si="22"/>
        <v>0</v>
      </c>
    </row>
    <row r="94" spans="1:31" ht="20.25" customHeight="1" x14ac:dyDescent="0.25">
      <c r="A94" s="2" t="s">
        <v>91</v>
      </c>
      <c r="B94" s="142" cm="1">
        <f t="array" ref="B94">IF(ISERROR(_xlfn.XLOOKUP(B$5,'QB_Funds Analysis raw'!$B$5:$AC$5, _xlfn.XLOOKUP($A94,'QB_Funds Analysis raw'!$A$6:$A$104,'QB_Funds Analysis raw'!$B$6:$AC$104))),0,(_xlfn.XLOOKUP(B$5,'QB_Funds Analysis raw'!$B$5:$AC$5, _xlfn.XLOOKUP($A94,'QB_Funds Analysis raw'!$A$6:$A$104,'QB_Funds Analysis raw'!$B$6:$AC$104))))</f>
        <v>0</v>
      </c>
      <c r="C94" s="142" cm="1">
        <f t="array" ref="C94">IF(ISERROR(_xlfn.XLOOKUP(C$5,'QB_Funds Analysis raw'!$B$5:$AC$5, _xlfn.XLOOKUP($A94,'QB_Funds Analysis raw'!$A$6:$A$104,'QB_Funds Analysis raw'!$B$6:$AC$104))),0,(_xlfn.XLOOKUP(C$5,'QB_Funds Analysis raw'!$B$5:$AC$5, _xlfn.XLOOKUP($A94,'QB_Funds Analysis raw'!$A$6:$A$104,'QB_Funds Analysis raw'!$B$6:$AC$104))))</f>
        <v>0</v>
      </c>
      <c r="D94" s="252" cm="1">
        <f t="array" ref="D94">IF(ISERROR(_xlfn.XLOOKUP(D$5,'QB_Funds Analysis raw'!$B$5:$AC$5, _xlfn.XLOOKUP($A94,'QB_Funds Analysis raw'!$A$6:$A$104,'QB_Funds Analysis raw'!$B$6:$AC$104))),0,(_xlfn.XLOOKUP(D$5,'QB_Funds Analysis raw'!$B$5:$AC$5, _xlfn.XLOOKUP($A94,'QB_Funds Analysis raw'!$A$6:$A$104,'QB_Funds Analysis raw'!$B$6:$AC$104))))</f>
        <v>0</v>
      </c>
      <c r="E94" s="142" cm="1">
        <f t="array" ref="E94">IF(ISERROR(_xlfn.XLOOKUP(E$5,'QB_Funds Analysis raw'!$B$5:$AC$5, _xlfn.XLOOKUP($A94,'QB_Funds Analysis raw'!$A$6:$A$104,'QB_Funds Analysis raw'!$B$6:$AC$104))),0,(_xlfn.XLOOKUP(E$5,'QB_Funds Analysis raw'!$B$5:$AC$5, _xlfn.XLOOKUP($A94,'QB_Funds Analysis raw'!$A$6:$A$104,'QB_Funds Analysis raw'!$B$6:$AC$104))))</f>
        <v>0</v>
      </c>
      <c r="F94" s="142" cm="1">
        <f t="array" ref="F94">IF(ISERROR(_xlfn.XLOOKUP(F$5,'QB_Funds Analysis raw'!$B$5:$AC$5, _xlfn.XLOOKUP($A94,'QB_Funds Analysis raw'!$A$6:$A$104,'QB_Funds Analysis raw'!$B$6:$AC$104))),0,(_xlfn.XLOOKUP(F$5,'QB_Funds Analysis raw'!$B$5:$AC$5, _xlfn.XLOOKUP($A94,'QB_Funds Analysis raw'!$A$6:$A$104,'QB_Funds Analysis raw'!$B$6:$AC$104))))</f>
        <v>0</v>
      </c>
      <c r="G94" s="142" cm="1">
        <f t="array" ref="G94">IF(ISERROR(_xlfn.XLOOKUP(G$5,'QB_Funds Analysis raw'!$B$5:$AC$5, _xlfn.XLOOKUP($A94,'QB_Funds Analysis raw'!$A$6:$A$104,'QB_Funds Analysis raw'!$B$6:$AC$104))),0,(_xlfn.XLOOKUP(G$5,'QB_Funds Analysis raw'!$B$5:$AC$5, _xlfn.XLOOKUP($A94,'QB_Funds Analysis raw'!$A$6:$A$104,'QB_Funds Analysis raw'!$B$6:$AC$104))))</f>
        <v>0</v>
      </c>
      <c r="H94" s="142" cm="1">
        <f t="array" ref="H94">IF(ISERROR(_xlfn.XLOOKUP(H$5,'QB_Funds Analysis raw'!$B$5:$AC$5, _xlfn.XLOOKUP($A94,'QB_Funds Analysis raw'!$A$6:$A$104,'QB_Funds Analysis raw'!$B$6:$AC$104))),0,(_xlfn.XLOOKUP(H$5,'QB_Funds Analysis raw'!$B$5:$AC$5, _xlfn.XLOOKUP($A94,'QB_Funds Analysis raw'!$A$6:$A$104,'QB_Funds Analysis raw'!$B$6:$AC$104))))</f>
        <v>0</v>
      </c>
      <c r="I94" s="142" cm="1">
        <f t="array" ref="I94">IF(ISERROR(_xlfn.XLOOKUP(I$5,'QB_Funds Analysis raw'!$B$5:$AC$5, _xlfn.XLOOKUP($A94,'QB_Funds Analysis raw'!$A$6:$A$104,'QB_Funds Analysis raw'!$B$6:$AC$104))),0,(_xlfn.XLOOKUP(I$5,'QB_Funds Analysis raw'!$B$5:$AC$5, _xlfn.XLOOKUP($A94,'QB_Funds Analysis raw'!$A$6:$A$104,'QB_Funds Analysis raw'!$B$6:$AC$104))))</f>
        <v>0</v>
      </c>
      <c r="J94" s="142" cm="1">
        <f t="array" ref="J94">IF(ISERROR(_xlfn.XLOOKUP(J$5,'QB_Funds Analysis raw'!$B$5:$AC$5, _xlfn.XLOOKUP($A94,'QB_Funds Analysis raw'!$A$6:$A$104,'QB_Funds Analysis raw'!$B$6:$AC$104))),0,(_xlfn.XLOOKUP(J$5,'QB_Funds Analysis raw'!$B$5:$AC$5, _xlfn.XLOOKUP($A94,'QB_Funds Analysis raw'!$A$6:$A$104,'QB_Funds Analysis raw'!$B$6:$AC$104))))</f>
        <v>0</v>
      </c>
      <c r="K94" s="252" cm="1">
        <f t="array" ref="K94">IF(ISERROR(_xlfn.XLOOKUP(K$5,'QB_Funds Analysis raw'!$B$5:$AC$5, _xlfn.XLOOKUP($A94,'QB_Funds Analysis raw'!$A$6:$A$104,'QB_Funds Analysis raw'!$B$6:$AC$104))),0,(_xlfn.XLOOKUP(K$5,'QB_Funds Analysis raw'!$B$5:$AC$5, _xlfn.XLOOKUP($A94,'QB_Funds Analysis raw'!$A$6:$A$104,'QB_Funds Analysis raw'!$B$6:$AC$104))))</f>
        <v>0</v>
      </c>
      <c r="L94" s="142" cm="1">
        <f t="array" ref="L94">IF(ISERROR(_xlfn.XLOOKUP(L$5,'QB_Funds Analysis raw'!$B$5:$AC$5, _xlfn.XLOOKUP($A94,'QB_Funds Analysis raw'!$A$6:$A$104,'QB_Funds Analysis raw'!$B$6:$AC$104))),0,(_xlfn.XLOOKUP(L$5,'QB_Funds Analysis raw'!$B$5:$AC$5, _xlfn.XLOOKUP($A94,'QB_Funds Analysis raw'!$A$6:$A$104,'QB_Funds Analysis raw'!$B$6:$AC$104))))</f>
        <v>270.79000000000002</v>
      </c>
      <c r="M94" s="142" cm="1">
        <f t="array" ref="M94">IF(ISERROR(_xlfn.XLOOKUP(M$5,'QB_Funds Analysis raw'!$B$5:$AC$5, _xlfn.XLOOKUP($A94,'QB_Funds Analysis raw'!$A$6:$A$104,'QB_Funds Analysis raw'!$B$6:$AC$104))),0,(_xlfn.XLOOKUP(M$5,'QB_Funds Analysis raw'!$B$5:$AC$5, _xlfn.XLOOKUP($A94,'QB_Funds Analysis raw'!$A$6:$A$104,'QB_Funds Analysis raw'!$B$6:$AC$104))))</f>
        <v>0</v>
      </c>
      <c r="N94" s="252" cm="1">
        <f t="array" ref="N94">IF(ISERROR(_xlfn.XLOOKUP(N$5,'QB_Funds Analysis raw'!$B$5:$AC$5, _xlfn.XLOOKUP($A94,'QB_Funds Analysis raw'!$A$6:$A$104,'QB_Funds Analysis raw'!$B$6:$AC$104))),0,(_xlfn.XLOOKUP(N$5,'QB_Funds Analysis raw'!$B$5:$AC$5, _xlfn.XLOOKUP($A94,'QB_Funds Analysis raw'!$A$6:$A$104,'QB_Funds Analysis raw'!$B$6:$AC$104))))</f>
        <v>0</v>
      </c>
      <c r="O94" s="252" cm="1">
        <f t="array" ref="O94">IF(ISERROR(_xlfn.XLOOKUP(O$5,'QB_Funds Analysis raw'!$B$5:$AC$5, _xlfn.XLOOKUP($A94,'QB_Funds Analysis raw'!$A$6:$A$104,'QB_Funds Analysis raw'!$B$6:$AC$104))),0,(_xlfn.XLOOKUP(O$5,'QB_Funds Analysis raw'!$B$5:$AC$5, _xlfn.XLOOKUP($A94,'QB_Funds Analysis raw'!$A$6:$A$104,'QB_Funds Analysis raw'!$B$6:$AC$104))))</f>
        <v>0</v>
      </c>
      <c r="P94" s="142" cm="1">
        <f t="array" ref="P94">IF(ISERROR(_xlfn.XLOOKUP(P$5,'QB_Funds Analysis raw'!$B$5:$AC$5, _xlfn.XLOOKUP($A94,'QB_Funds Analysis raw'!$A$6:$A$104,'QB_Funds Analysis raw'!$B$6:$AC$104))),0,(_xlfn.XLOOKUP(P$5,'QB_Funds Analysis raw'!$B$5:$AC$5, _xlfn.XLOOKUP($A94,'QB_Funds Analysis raw'!$A$6:$A$104,'QB_Funds Analysis raw'!$B$6:$AC$104))))</f>
        <v>0</v>
      </c>
      <c r="Q94" s="247" cm="1">
        <f t="array" ref="Q94">IF(ISERROR(_xlfn.XLOOKUP(Q$5,'QB_Funds Analysis raw'!$B$5:$AC$5, _xlfn.XLOOKUP($A94,'QB_Funds Analysis raw'!$A$6:$A$104,'QB_Funds Analysis raw'!$B$6:$AC$104))),0,(_xlfn.XLOOKUP(Q$5,'QB_Funds Analysis raw'!$B$5:$AC$5, _xlfn.XLOOKUP($A94,'QB_Funds Analysis raw'!$A$6:$A$104,'QB_Funds Analysis raw'!$B$6:$AC$104))))</f>
        <v>270.79000000000002</v>
      </c>
      <c r="R94" s="142" cm="1">
        <f t="array" ref="R94">IF(ISERROR(_xlfn.XLOOKUP(R$5,'QB_Funds Analysis raw'!$B$5:$AC$5, _xlfn.XLOOKUP($A94,'QB_Funds Analysis raw'!$A$6:$A$104,'QB_Funds Analysis raw'!$B$6:$AC$104))),0,(_xlfn.XLOOKUP(R$5,'QB_Funds Analysis raw'!$B$5:$AC$5, _xlfn.XLOOKUP($A94,'QB_Funds Analysis raw'!$A$6:$A$104,'QB_Funds Analysis raw'!$B$6:$AC$104))))</f>
        <v>0</v>
      </c>
      <c r="S94" s="142" cm="1">
        <f t="array" ref="S94">IF(ISERROR(_xlfn.XLOOKUP(S$5,'QB_Funds Analysis raw'!$B$5:$AC$5, _xlfn.XLOOKUP($A94,'QB_Funds Analysis raw'!$A$6:$A$104,'QB_Funds Analysis raw'!$B$6:$AC$104))),0,(_xlfn.XLOOKUP(S$5,'QB_Funds Analysis raw'!$B$5:$AC$5, _xlfn.XLOOKUP($A94,'QB_Funds Analysis raw'!$A$6:$A$104,'QB_Funds Analysis raw'!$B$6:$AC$104))))</f>
        <v>0</v>
      </c>
      <c r="T94" s="142" cm="1">
        <f t="array" ref="T94">IF(ISERROR(_xlfn.XLOOKUP(T$5,'QB_Funds Analysis raw'!$B$5:$AC$5, _xlfn.XLOOKUP($A94,'QB_Funds Analysis raw'!$A$6:$A$104,'QB_Funds Analysis raw'!$B$6:$AC$104))),0,(_xlfn.XLOOKUP(T$5,'QB_Funds Analysis raw'!$B$5:$AC$5, _xlfn.XLOOKUP($A94,'QB_Funds Analysis raw'!$A$6:$A$104,'QB_Funds Analysis raw'!$B$6:$AC$104))))</f>
        <v>0</v>
      </c>
      <c r="U94" s="142" cm="1">
        <f t="array" ref="U94">IF(ISERROR(_xlfn.XLOOKUP(U$5,'QB_Funds Analysis raw'!$B$5:$AC$5, _xlfn.XLOOKUP($A94,'QB_Funds Analysis raw'!$A$6:$A$104,'QB_Funds Analysis raw'!$B$6:$AC$104))),0,(_xlfn.XLOOKUP(U$5,'QB_Funds Analysis raw'!$B$5:$AC$5, _xlfn.XLOOKUP($A94,'QB_Funds Analysis raw'!$A$6:$A$104,'QB_Funds Analysis raw'!$B$6:$AC$104))))</f>
        <v>0</v>
      </c>
      <c r="V94" s="142" cm="1">
        <f t="array" ref="V94">IF(ISERROR(_xlfn.XLOOKUP(V$5,'QB_Funds Analysis raw'!$B$5:$AC$5, _xlfn.XLOOKUP($A94,'QB_Funds Analysis raw'!$A$6:$A$104,'QB_Funds Analysis raw'!$B$6:$AC$104))),0,(_xlfn.XLOOKUP(V$5,'QB_Funds Analysis raw'!$B$5:$AC$5, _xlfn.XLOOKUP($A94,'QB_Funds Analysis raw'!$A$6:$A$104,'QB_Funds Analysis raw'!$B$6:$AC$104))))</f>
        <v>0</v>
      </c>
      <c r="W94" s="142">
        <v>1332.47</v>
      </c>
      <c r="X94" s="142" cm="1">
        <f t="array" ref="X94">IF(ISERROR(_xlfn.XLOOKUP(X$5,'QB_Funds Analysis raw'!$B$5:$AC$5, _xlfn.XLOOKUP($A94,'QB_Funds Analysis raw'!$A$6:$A$104,'QB_Funds Analysis raw'!$B$6:$AC$104))),0,(_xlfn.XLOOKUP(X$5,'QB_Funds Analysis raw'!$B$5:$AC$5, _xlfn.XLOOKUP($A94,'QB_Funds Analysis raw'!$A$6:$A$104,'QB_Funds Analysis raw'!$B$6:$AC$104))))</f>
        <v>0</v>
      </c>
      <c r="Y94" s="142" cm="1">
        <f t="array" ref="Y94">IF(ISERROR(_xlfn.XLOOKUP(Y$5,'QB_Funds Analysis raw'!$B$5:$AC$5, _xlfn.XLOOKUP($A94,'QB_Funds Analysis raw'!$A$6:$A$104,'QB_Funds Analysis raw'!$B$6:$AC$104))),0,(_xlfn.XLOOKUP(Y$5,'QB_Funds Analysis raw'!$B$5:$AC$5, _xlfn.XLOOKUP($A94,'QB_Funds Analysis raw'!$A$6:$A$104,'QB_Funds Analysis raw'!$B$6:$AC$104))))</f>
        <v>12.05</v>
      </c>
      <c r="Z94" s="142" cm="1">
        <f t="array" ref="Z94">IF(ISERROR(_xlfn.XLOOKUP(Z$5,'QB_Funds Analysis raw'!$B$5:$AC$5, _xlfn.XLOOKUP($A94,'QB_Funds Analysis raw'!$A$6:$A$104,'QB_Funds Analysis raw'!$B$6:$AC$104))),0,(_xlfn.XLOOKUP(Z$5,'QB_Funds Analysis raw'!$B$5:$AC$5, _xlfn.XLOOKUP($A94,'QB_Funds Analysis raw'!$A$6:$A$104,'QB_Funds Analysis raw'!$B$6:$AC$104))))</f>
        <v>0</v>
      </c>
      <c r="AA94" s="142">
        <v>1637.5</v>
      </c>
      <c r="AB94" s="142" cm="1">
        <f t="array" ref="AB94">IF(ISERROR(_xlfn.XLOOKUP(AB$5,'QB_Funds Analysis raw'!$B$5:$AC$5, _xlfn.XLOOKUP($A94,'QB_Funds Analysis raw'!$A$6:$A$104,'QB_Funds Analysis raw'!$B$6:$AC$104))),0,(_xlfn.XLOOKUP(AB$5,'QB_Funds Analysis raw'!$B$5:$AC$5, _xlfn.XLOOKUP($A94,'QB_Funds Analysis raw'!$A$6:$A$104,'QB_Funds Analysis raw'!$B$6:$AC$104))))</f>
        <v>622.29</v>
      </c>
      <c r="AC94" s="142" cm="1">
        <f t="array" ref="AC94">IF(ISERROR(_xlfn.XLOOKUP(AC$5,'QB_Funds Analysis raw'!$B$5:$AC$5, _xlfn.XLOOKUP($A94,'QB_Funds Analysis raw'!$A$6:$A$104,'QB_Funds Analysis raw'!$B$6:$AC$104))),0,(_xlfn.XLOOKUP(AC$5,'QB_Funds Analysis raw'!$B$5:$AC$5, _xlfn.XLOOKUP($A94,'QB_Funds Analysis raw'!$A$6:$A$104,'QB_Funds Analysis raw'!$B$6:$AC$104))))</f>
        <v>893.07999999999993</v>
      </c>
      <c r="AD94" s="167">
        <f t="shared" si="13"/>
        <v>893.07999999999993</v>
      </c>
      <c r="AE94" s="167">
        <f t="shared" si="22"/>
        <v>0</v>
      </c>
    </row>
    <row r="95" spans="1:31" ht="20.25" customHeight="1" x14ac:dyDescent="0.25">
      <c r="A95" s="2" t="s">
        <v>468</v>
      </c>
      <c r="B95" s="142" cm="1">
        <f t="array" ref="B95">IF(ISERROR(_xlfn.XLOOKUP(B$5,'QB_Funds Analysis raw'!$B$5:$AC$5, _xlfn.XLOOKUP($A95,'QB_Funds Analysis raw'!$A$6:$A$104,'QB_Funds Analysis raw'!$B$6:$AC$104))),0,(_xlfn.XLOOKUP(B$5,'QB_Funds Analysis raw'!$B$5:$AC$5, _xlfn.XLOOKUP($A95,'QB_Funds Analysis raw'!$A$6:$A$104,'QB_Funds Analysis raw'!$B$6:$AC$104))))</f>
        <v>0</v>
      </c>
      <c r="C95" s="142" cm="1">
        <f t="array" ref="C95">IF(ISERROR(_xlfn.XLOOKUP(C$5,'QB_Funds Analysis raw'!$B$5:$AC$5, _xlfn.XLOOKUP($A95,'QB_Funds Analysis raw'!$A$6:$A$104,'QB_Funds Analysis raw'!$B$6:$AC$104))),0,(_xlfn.XLOOKUP(C$5,'QB_Funds Analysis raw'!$B$5:$AC$5, _xlfn.XLOOKUP($A95,'QB_Funds Analysis raw'!$A$6:$A$104,'QB_Funds Analysis raw'!$B$6:$AC$104))))</f>
        <v>0</v>
      </c>
      <c r="D95" s="252" cm="1">
        <f t="array" ref="D95">IF(ISERROR(_xlfn.XLOOKUP(D$5,'QB_Funds Analysis raw'!$B$5:$AC$5, _xlfn.XLOOKUP($A95,'QB_Funds Analysis raw'!$A$6:$A$104,'QB_Funds Analysis raw'!$B$6:$AC$104))),0,(_xlfn.XLOOKUP(D$5,'QB_Funds Analysis raw'!$B$5:$AC$5, _xlfn.XLOOKUP($A95,'QB_Funds Analysis raw'!$A$6:$A$104,'QB_Funds Analysis raw'!$B$6:$AC$104))))</f>
        <v>0</v>
      </c>
      <c r="E95" s="142" cm="1">
        <f t="array" ref="E95">IF(ISERROR(_xlfn.XLOOKUP(E$5,'QB_Funds Analysis raw'!$B$5:$AC$5, _xlfn.XLOOKUP($A95,'QB_Funds Analysis raw'!$A$6:$A$104,'QB_Funds Analysis raw'!$B$6:$AC$104))),0,(_xlfn.XLOOKUP(E$5,'QB_Funds Analysis raw'!$B$5:$AC$5, _xlfn.XLOOKUP($A95,'QB_Funds Analysis raw'!$A$6:$A$104,'QB_Funds Analysis raw'!$B$6:$AC$104))))</f>
        <v>0</v>
      </c>
      <c r="F95" s="142" cm="1">
        <f t="array" ref="F95">IF(ISERROR(_xlfn.XLOOKUP(F$5,'QB_Funds Analysis raw'!$B$5:$AC$5, _xlfn.XLOOKUP($A95,'QB_Funds Analysis raw'!$A$6:$A$104,'QB_Funds Analysis raw'!$B$6:$AC$104))),0,(_xlfn.XLOOKUP(F$5,'QB_Funds Analysis raw'!$B$5:$AC$5, _xlfn.XLOOKUP($A95,'QB_Funds Analysis raw'!$A$6:$A$104,'QB_Funds Analysis raw'!$B$6:$AC$104))))</f>
        <v>0</v>
      </c>
      <c r="G95" s="142" cm="1">
        <f t="array" ref="G95">IF(ISERROR(_xlfn.XLOOKUP(G$5,'QB_Funds Analysis raw'!$B$5:$AC$5, _xlfn.XLOOKUP($A95,'QB_Funds Analysis raw'!$A$6:$A$104,'QB_Funds Analysis raw'!$B$6:$AC$104))),0,(_xlfn.XLOOKUP(G$5,'QB_Funds Analysis raw'!$B$5:$AC$5, _xlfn.XLOOKUP($A95,'QB_Funds Analysis raw'!$A$6:$A$104,'QB_Funds Analysis raw'!$B$6:$AC$104))))</f>
        <v>0</v>
      </c>
      <c r="H95" s="142" cm="1">
        <f t="array" ref="H95">IF(ISERROR(_xlfn.XLOOKUP(H$5,'QB_Funds Analysis raw'!$B$5:$AC$5, _xlfn.XLOOKUP($A95,'QB_Funds Analysis raw'!$A$6:$A$104,'QB_Funds Analysis raw'!$B$6:$AC$104))),0,(_xlfn.XLOOKUP(H$5,'QB_Funds Analysis raw'!$B$5:$AC$5, _xlfn.XLOOKUP($A95,'QB_Funds Analysis raw'!$A$6:$A$104,'QB_Funds Analysis raw'!$B$6:$AC$104))))</f>
        <v>0</v>
      </c>
      <c r="I95" s="142" cm="1">
        <f t="array" ref="I95">IF(ISERROR(_xlfn.XLOOKUP(I$5,'QB_Funds Analysis raw'!$B$5:$AC$5, _xlfn.XLOOKUP($A95,'QB_Funds Analysis raw'!$A$6:$A$104,'QB_Funds Analysis raw'!$B$6:$AC$104))),0,(_xlfn.XLOOKUP(I$5,'QB_Funds Analysis raw'!$B$5:$AC$5, _xlfn.XLOOKUP($A95,'QB_Funds Analysis raw'!$A$6:$A$104,'QB_Funds Analysis raw'!$B$6:$AC$104))))</f>
        <v>0</v>
      </c>
      <c r="J95" s="142" cm="1">
        <f t="array" ref="J95">IF(ISERROR(_xlfn.XLOOKUP(J$5,'QB_Funds Analysis raw'!$B$5:$AC$5, _xlfn.XLOOKUP($A95,'QB_Funds Analysis raw'!$A$6:$A$104,'QB_Funds Analysis raw'!$B$6:$AC$104))),0,(_xlfn.XLOOKUP(J$5,'QB_Funds Analysis raw'!$B$5:$AC$5, _xlfn.XLOOKUP($A95,'QB_Funds Analysis raw'!$A$6:$A$104,'QB_Funds Analysis raw'!$B$6:$AC$104))))</f>
        <v>0</v>
      </c>
      <c r="K95" s="252" cm="1">
        <f t="array" ref="K95">IF(ISERROR(_xlfn.XLOOKUP(K$5,'QB_Funds Analysis raw'!$B$5:$AC$5, _xlfn.XLOOKUP($A95,'QB_Funds Analysis raw'!$A$6:$A$104,'QB_Funds Analysis raw'!$B$6:$AC$104))),0,(_xlfn.XLOOKUP(K$5,'QB_Funds Analysis raw'!$B$5:$AC$5, _xlfn.XLOOKUP($A95,'QB_Funds Analysis raw'!$A$6:$A$104,'QB_Funds Analysis raw'!$B$6:$AC$104))))</f>
        <v>0</v>
      </c>
      <c r="L95" s="142" cm="1">
        <f t="array" ref="L95">IF(ISERROR(_xlfn.XLOOKUP(L$5,'QB_Funds Analysis raw'!$B$5:$AC$5, _xlfn.XLOOKUP($A95,'QB_Funds Analysis raw'!$A$6:$A$104,'QB_Funds Analysis raw'!$B$6:$AC$104))),0,(_xlfn.XLOOKUP(L$5,'QB_Funds Analysis raw'!$B$5:$AC$5, _xlfn.XLOOKUP($A95,'QB_Funds Analysis raw'!$A$6:$A$104,'QB_Funds Analysis raw'!$B$6:$AC$104))))</f>
        <v>0</v>
      </c>
      <c r="M95" s="142" cm="1">
        <f t="array" ref="M95">IF(ISERROR(_xlfn.XLOOKUP(M$5,'QB_Funds Analysis raw'!$B$5:$AC$5, _xlfn.XLOOKUP($A95,'QB_Funds Analysis raw'!$A$6:$A$104,'QB_Funds Analysis raw'!$B$6:$AC$104))),0,(_xlfn.XLOOKUP(M$5,'QB_Funds Analysis raw'!$B$5:$AC$5, _xlfn.XLOOKUP($A95,'QB_Funds Analysis raw'!$A$6:$A$104,'QB_Funds Analysis raw'!$B$6:$AC$104))))</f>
        <v>0</v>
      </c>
      <c r="N95" s="252" cm="1">
        <f t="array" ref="N95">IF(ISERROR(_xlfn.XLOOKUP(N$5,'QB_Funds Analysis raw'!$B$5:$AC$5, _xlfn.XLOOKUP($A95,'QB_Funds Analysis raw'!$A$6:$A$104,'QB_Funds Analysis raw'!$B$6:$AC$104))),0,(_xlfn.XLOOKUP(N$5,'QB_Funds Analysis raw'!$B$5:$AC$5, _xlfn.XLOOKUP($A95,'QB_Funds Analysis raw'!$A$6:$A$104,'QB_Funds Analysis raw'!$B$6:$AC$104))))</f>
        <v>0</v>
      </c>
      <c r="O95" s="252" cm="1">
        <f t="array" ref="O95">IF(ISERROR(_xlfn.XLOOKUP(O$5,'QB_Funds Analysis raw'!$B$5:$AC$5, _xlfn.XLOOKUP($A95,'QB_Funds Analysis raw'!$A$6:$A$104,'QB_Funds Analysis raw'!$B$6:$AC$104))),0,(_xlfn.XLOOKUP(O$5,'QB_Funds Analysis raw'!$B$5:$AC$5, _xlfn.XLOOKUP($A95,'QB_Funds Analysis raw'!$A$6:$A$104,'QB_Funds Analysis raw'!$B$6:$AC$104))))</f>
        <v>1200</v>
      </c>
      <c r="P95" s="142" cm="1">
        <f t="array" ref="P95">IF(ISERROR(_xlfn.XLOOKUP(P$5,'QB_Funds Analysis raw'!$B$5:$AC$5, _xlfn.XLOOKUP($A95,'QB_Funds Analysis raw'!$A$6:$A$104,'QB_Funds Analysis raw'!$B$6:$AC$104))),0,(_xlfn.XLOOKUP(P$5,'QB_Funds Analysis raw'!$B$5:$AC$5, _xlfn.XLOOKUP($A95,'QB_Funds Analysis raw'!$A$6:$A$104,'QB_Funds Analysis raw'!$B$6:$AC$104))))</f>
        <v>0</v>
      </c>
      <c r="Q95" s="247" cm="1">
        <f t="array" ref="Q95">IF(ISERROR(_xlfn.XLOOKUP(Q$5,'QB_Funds Analysis raw'!$B$5:$AC$5, _xlfn.XLOOKUP($A95,'QB_Funds Analysis raw'!$A$6:$A$104,'QB_Funds Analysis raw'!$B$6:$AC$104))),0,(_xlfn.XLOOKUP(Q$5,'QB_Funds Analysis raw'!$B$5:$AC$5, _xlfn.XLOOKUP($A95,'QB_Funds Analysis raw'!$A$6:$A$104,'QB_Funds Analysis raw'!$B$6:$AC$104))))</f>
        <v>1200</v>
      </c>
      <c r="R95" s="142" cm="1">
        <f t="array" ref="R95">IF(ISERROR(_xlfn.XLOOKUP(R$5,'QB_Funds Analysis raw'!$B$5:$AC$5, _xlfn.XLOOKUP($A95,'QB_Funds Analysis raw'!$A$6:$A$104,'QB_Funds Analysis raw'!$B$6:$AC$104))),0,(_xlfn.XLOOKUP(R$5,'QB_Funds Analysis raw'!$B$5:$AC$5, _xlfn.XLOOKUP($A95,'QB_Funds Analysis raw'!$A$6:$A$104,'QB_Funds Analysis raw'!$B$6:$AC$104))))</f>
        <v>0</v>
      </c>
      <c r="S95" s="142" cm="1">
        <f t="array" ref="S95">IF(ISERROR(_xlfn.XLOOKUP(S$5,'QB_Funds Analysis raw'!$B$5:$AC$5, _xlfn.XLOOKUP($A95,'QB_Funds Analysis raw'!$A$6:$A$104,'QB_Funds Analysis raw'!$B$6:$AC$104))),0,(_xlfn.XLOOKUP(S$5,'QB_Funds Analysis raw'!$B$5:$AC$5, _xlfn.XLOOKUP($A95,'QB_Funds Analysis raw'!$A$6:$A$104,'QB_Funds Analysis raw'!$B$6:$AC$104))))</f>
        <v>0</v>
      </c>
      <c r="T95" s="142" cm="1">
        <f t="array" ref="T95">IF(ISERROR(_xlfn.XLOOKUP(T$5,'QB_Funds Analysis raw'!$B$5:$AC$5, _xlfn.XLOOKUP($A95,'QB_Funds Analysis raw'!$A$6:$A$104,'QB_Funds Analysis raw'!$B$6:$AC$104))),0,(_xlfn.XLOOKUP(T$5,'QB_Funds Analysis raw'!$B$5:$AC$5, _xlfn.XLOOKUP($A95,'QB_Funds Analysis raw'!$A$6:$A$104,'QB_Funds Analysis raw'!$B$6:$AC$104))))</f>
        <v>0</v>
      </c>
      <c r="U95" s="142" cm="1">
        <f t="array" ref="U95">IF(ISERROR(_xlfn.XLOOKUP(U$5,'QB_Funds Analysis raw'!$B$5:$AC$5, _xlfn.XLOOKUP($A95,'QB_Funds Analysis raw'!$A$6:$A$104,'QB_Funds Analysis raw'!$B$6:$AC$104))),0,(_xlfn.XLOOKUP(U$5,'QB_Funds Analysis raw'!$B$5:$AC$5, _xlfn.XLOOKUP($A95,'QB_Funds Analysis raw'!$A$6:$A$104,'QB_Funds Analysis raw'!$B$6:$AC$104))))</f>
        <v>0</v>
      </c>
      <c r="V95" s="142" cm="1">
        <f t="array" ref="V95">IF(ISERROR(_xlfn.XLOOKUP(V$5,'QB_Funds Analysis raw'!$B$5:$AC$5, _xlfn.XLOOKUP($A95,'QB_Funds Analysis raw'!$A$6:$A$104,'QB_Funds Analysis raw'!$B$6:$AC$104))),0,(_xlfn.XLOOKUP(V$5,'QB_Funds Analysis raw'!$B$5:$AC$5, _xlfn.XLOOKUP($A95,'QB_Funds Analysis raw'!$A$6:$A$104,'QB_Funds Analysis raw'!$B$6:$AC$104))))</f>
        <v>0</v>
      </c>
      <c r="W95" s="142">
        <v>2043.28</v>
      </c>
      <c r="X95" s="142" cm="1">
        <f t="array" ref="X95">IF(ISERROR(_xlfn.XLOOKUP(X$5,'QB_Funds Analysis raw'!$B$5:$AC$5, _xlfn.XLOOKUP($A95,'QB_Funds Analysis raw'!$A$6:$A$104,'QB_Funds Analysis raw'!$B$6:$AC$104))),0,(_xlfn.XLOOKUP(X$5,'QB_Funds Analysis raw'!$B$5:$AC$5, _xlfn.XLOOKUP($A95,'QB_Funds Analysis raw'!$A$6:$A$104,'QB_Funds Analysis raw'!$B$6:$AC$104))))</f>
        <v>0</v>
      </c>
      <c r="Y95" s="142" cm="1">
        <f t="array" ref="Y95">IF(ISERROR(_xlfn.XLOOKUP(Y$5,'QB_Funds Analysis raw'!$B$5:$AC$5, _xlfn.XLOOKUP($A95,'QB_Funds Analysis raw'!$A$6:$A$104,'QB_Funds Analysis raw'!$B$6:$AC$104))),0,(_xlfn.XLOOKUP(Y$5,'QB_Funds Analysis raw'!$B$5:$AC$5, _xlfn.XLOOKUP($A95,'QB_Funds Analysis raw'!$A$6:$A$104,'QB_Funds Analysis raw'!$B$6:$AC$104))))</f>
        <v>185</v>
      </c>
      <c r="Z95" s="142" cm="1">
        <f t="array" ref="Z95">IF(ISERROR(_xlfn.XLOOKUP(Z$5,'QB_Funds Analysis raw'!$B$5:$AC$5, _xlfn.XLOOKUP($A95,'QB_Funds Analysis raw'!$A$6:$A$104,'QB_Funds Analysis raw'!$B$6:$AC$104))),0,(_xlfn.XLOOKUP(Z$5,'QB_Funds Analysis raw'!$B$5:$AC$5, _xlfn.XLOOKUP($A95,'QB_Funds Analysis raw'!$A$6:$A$104,'QB_Funds Analysis raw'!$B$6:$AC$104))))</f>
        <v>0</v>
      </c>
      <c r="AA95" s="142" cm="1">
        <f t="array" ref="AA95">IF(ISERROR(_xlfn.XLOOKUP(AA$5,'QB_Funds Analysis raw'!$B$5:$AC$5, _xlfn.XLOOKUP($A95,'QB_Funds Analysis raw'!$A$6:$A$104,'QB_Funds Analysis raw'!$B$6:$AC$104))),0,(_xlfn.XLOOKUP(AA$5,'QB_Funds Analysis raw'!$B$5:$AC$5, _xlfn.XLOOKUP($A95,'QB_Funds Analysis raw'!$A$6:$A$104,'QB_Funds Analysis raw'!$B$6:$AC$104))))</f>
        <v>0</v>
      </c>
      <c r="AB95" s="142" cm="1">
        <f t="array" ref="AB95">IF(ISERROR(_xlfn.XLOOKUP(AB$5,'QB_Funds Analysis raw'!$B$5:$AC$5, _xlfn.XLOOKUP($A95,'QB_Funds Analysis raw'!$A$6:$A$104,'QB_Funds Analysis raw'!$B$6:$AC$104))),0,(_xlfn.XLOOKUP(AB$5,'QB_Funds Analysis raw'!$B$5:$AC$5, _xlfn.XLOOKUP($A95,'QB_Funds Analysis raw'!$A$6:$A$104,'QB_Funds Analysis raw'!$B$6:$AC$104))))</f>
        <v>215</v>
      </c>
      <c r="AC95" s="142" cm="1">
        <f t="array" ref="AC95">IF(ISERROR(_xlfn.XLOOKUP(AC$5,'QB_Funds Analysis raw'!$B$5:$AC$5, _xlfn.XLOOKUP($A95,'QB_Funds Analysis raw'!$A$6:$A$104,'QB_Funds Analysis raw'!$B$6:$AC$104))),0,(_xlfn.XLOOKUP(AC$5,'QB_Funds Analysis raw'!$B$5:$AC$5, _xlfn.XLOOKUP($A95,'QB_Funds Analysis raw'!$A$6:$A$104,'QB_Funds Analysis raw'!$B$6:$AC$104))))</f>
        <v>1415</v>
      </c>
      <c r="AD95" s="167">
        <f t="shared" si="13"/>
        <v>1415</v>
      </c>
      <c r="AE95" s="167">
        <f t="shared" si="22"/>
        <v>0</v>
      </c>
    </row>
    <row r="96" spans="1:31" ht="20.25" customHeight="1" x14ac:dyDescent="0.25">
      <c r="A96" s="2" t="s">
        <v>92</v>
      </c>
      <c r="B96" s="142" cm="1">
        <f t="array" ref="B96">IF(ISERROR(_xlfn.XLOOKUP(B$5,'QB_Funds Analysis raw'!$B$5:$AC$5, _xlfn.XLOOKUP($A96,'QB_Funds Analysis raw'!$A$6:$A$104,'QB_Funds Analysis raw'!$B$6:$AC$104))),0,(_xlfn.XLOOKUP(B$5,'QB_Funds Analysis raw'!$B$5:$AC$5, _xlfn.XLOOKUP($A96,'QB_Funds Analysis raw'!$A$6:$A$104,'QB_Funds Analysis raw'!$B$6:$AC$104))))</f>
        <v>0</v>
      </c>
      <c r="C96" s="142" cm="1">
        <f t="array" ref="C96">IF(ISERROR(_xlfn.XLOOKUP(C$5,'QB_Funds Analysis raw'!$B$5:$AC$5, _xlfn.XLOOKUP($A96,'QB_Funds Analysis raw'!$A$6:$A$104,'QB_Funds Analysis raw'!$B$6:$AC$104))),0,(_xlfn.XLOOKUP(C$5,'QB_Funds Analysis raw'!$B$5:$AC$5, _xlfn.XLOOKUP($A96,'QB_Funds Analysis raw'!$A$6:$A$104,'QB_Funds Analysis raw'!$B$6:$AC$104))))</f>
        <v>0</v>
      </c>
      <c r="D96" s="252" cm="1">
        <f t="array" ref="D96">IF(ISERROR(_xlfn.XLOOKUP(D$5,'QB_Funds Analysis raw'!$B$5:$AC$5, _xlfn.XLOOKUP($A96,'QB_Funds Analysis raw'!$A$6:$A$104,'QB_Funds Analysis raw'!$B$6:$AC$104))),0,(_xlfn.XLOOKUP(D$5,'QB_Funds Analysis raw'!$B$5:$AC$5, _xlfn.XLOOKUP($A96,'QB_Funds Analysis raw'!$A$6:$A$104,'QB_Funds Analysis raw'!$B$6:$AC$104))))</f>
        <v>0</v>
      </c>
      <c r="E96" s="142" cm="1">
        <f t="array" ref="E96">IF(ISERROR(_xlfn.XLOOKUP(E$5,'QB_Funds Analysis raw'!$B$5:$AC$5, _xlfn.XLOOKUP($A96,'QB_Funds Analysis raw'!$A$6:$A$104,'QB_Funds Analysis raw'!$B$6:$AC$104))),0,(_xlfn.XLOOKUP(E$5,'QB_Funds Analysis raw'!$B$5:$AC$5, _xlfn.XLOOKUP($A96,'QB_Funds Analysis raw'!$A$6:$A$104,'QB_Funds Analysis raw'!$B$6:$AC$104))))</f>
        <v>0</v>
      </c>
      <c r="F96" s="142" cm="1">
        <f t="array" ref="F96">IF(ISERROR(_xlfn.XLOOKUP(F$5,'QB_Funds Analysis raw'!$B$5:$AC$5, _xlfn.XLOOKUP($A96,'QB_Funds Analysis raw'!$A$6:$A$104,'QB_Funds Analysis raw'!$B$6:$AC$104))),0,(_xlfn.XLOOKUP(F$5,'QB_Funds Analysis raw'!$B$5:$AC$5, _xlfn.XLOOKUP($A96,'QB_Funds Analysis raw'!$A$6:$A$104,'QB_Funds Analysis raw'!$B$6:$AC$104))))</f>
        <v>0</v>
      </c>
      <c r="G96" s="142" cm="1">
        <f t="array" ref="G96">IF(ISERROR(_xlfn.XLOOKUP(G$5,'QB_Funds Analysis raw'!$B$5:$AC$5, _xlfn.XLOOKUP($A96,'QB_Funds Analysis raw'!$A$6:$A$104,'QB_Funds Analysis raw'!$B$6:$AC$104))),0,(_xlfn.XLOOKUP(G$5,'QB_Funds Analysis raw'!$B$5:$AC$5, _xlfn.XLOOKUP($A96,'QB_Funds Analysis raw'!$A$6:$A$104,'QB_Funds Analysis raw'!$B$6:$AC$104))))</f>
        <v>0</v>
      </c>
      <c r="H96" s="142" cm="1">
        <f t="array" ref="H96">IF(ISERROR(_xlfn.XLOOKUP(H$5,'QB_Funds Analysis raw'!$B$5:$AC$5, _xlfn.XLOOKUP($A96,'QB_Funds Analysis raw'!$A$6:$A$104,'QB_Funds Analysis raw'!$B$6:$AC$104))),0,(_xlfn.XLOOKUP(H$5,'QB_Funds Analysis raw'!$B$5:$AC$5, _xlfn.XLOOKUP($A96,'QB_Funds Analysis raw'!$A$6:$A$104,'QB_Funds Analysis raw'!$B$6:$AC$104))))</f>
        <v>0</v>
      </c>
      <c r="I96" s="142" cm="1">
        <f t="array" ref="I96">IF(ISERROR(_xlfn.XLOOKUP(I$5,'QB_Funds Analysis raw'!$B$5:$AC$5, _xlfn.XLOOKUP($A96,'QB_Funds Analysis raw'!$A$6:$A$104,'QB_Funds Analysis raw'!$B$6:$AC$104))),0,(_xlfn.XLOOKUP(I$5,'QB_Funds Analysis raw'!$B$5:$AC$5, _xlfn.XLOOKUP($A96,'QB_Funds Analysis raw'!$A$6:$A$104,'QB_Funds Analysis raw'!$B$6:$AC$104))))</f>
        <v>0</v>
      </c>
      <c r="J96" s="142" cm="1">
        <f t="array" ref="J96">IF(ISERROR(_xlfn.XLOOKUP(J$5,'QB_Funds Analysis raw'!$B$5:$AC$5, _xlfn.XLOOKUP($A96,'QB_Funds Analysis raw'!$A$6:$A$104,'QB_Funds Analysis raw'!$B$6:$AC$104))),0,(_xlfn.XLOOKUP(J$5,'QB_Funds Analysis raw'!$B$5:$AC$5, _xlfn.XLOOKUP($A96,'QB_Funds Analysis raw'!$A$6:$A$104,'QB_Funds Analysis raw'!$B$6:$AC$104))))</f>
        <v>0</v>
      </c>
      <c r="K96" s="252" cm="1">
        <f t="array" ref="K96">IF(ISERROR(_xlfn.XLOOKUP(K$5,'QB_Funds Analysis raw'!$B$5:$AC$5, _xlfn.XLOOKUP($A96,'QB_Funds Analysis raw'!$A$6:$A$104,'QB_Funds Analysis raw'!$B$6:$AC$104))),0,(_xlfn.XLOOKUP(K$5,'QB_Funds Analysis raw'!$B$5:$AC$5, _xlfn.XLOOKUP($A96,'QB_Funds Analysis raw'!$A$6:$A$104,'QB_Funds Analysis raw'!$B$6:$AC$104))))</f>
        <v>0</v>
      </c>
      <c r="L96" s="142" cm="1">
        <f t="array" ref="L96">IF(ISERROR(_xlfn.XLOOKUP(L$5,'QB_Funds Analysis raw'!$B$5:$AC$5, _xlfn.XLOOKUP($A96,'QB_Funds Analysis raw'!$A$6:$A$104,'QB_Funds Analysis raw'!$B$6:$AC$104))),0,(_xlfn.XLOOKUP(L$5,'QB_Funds Analysis raw'!$B$5:$AC$5, _xlfn.XLOOKUP($A96,'QB_Funds Analysis raw'!$A$6:$A$104,'QB_Funds Analysis raw'!$B$6:$AC$104))))</f>
        <v>0</v>
      </c>
      <c r="M96" s="142" cm="1">
        <f t="array" ref="M96">IF(ISERROR(_xlfn.XLOOKUP(M$5,'QB_Funds Analysis raw'!$B$5:$AC$5, _xlfn.XLOOKUP($A96,'QB_Funds Analysis raw'!$A$6:$A$104,'QB_Funds Analysis raw'!$B$6:$AC$104))),0,(_xlfn.XLOOKUP(M$5,'QB_Funds Analysis raw'!$B$5:$AC$5, _xlfn.XLOOKUP($A96,'QB_Funds Analysis raw'!$A$6:$A$104,'QB_Funds Analysis raw'!$B$6:$AC$104))))</f>
        <v>0</v>
      </c>
      <c r="N96" s="252" cm="1">
        <f t="array" ref="N96">IF(ISERROR(_xlfn.XLOOKUP(N$5,'QB_Funds Analysis raw'!$B$5:$AC$5, _xlfn.XLOOKUP($A96,'QB_Funds Analysis raw'!$A$6:$A$104,'QB_Funds Analysis raw'!$B$6:$AC$104))),0,(_xlfn.XLOOKUP(N$5,'QB_Funds Analysis raw'!$B$5:$AC$5, _xlfn.XLOOKUP($A96,'QB_Funds Analysis raw'!$A$6:$A$104,'QB_Funds Analysis raw'!$B$6:$AC$104))))</f>
        <v>0</v>
      </c>
      <c r="O96" s="252" cm="1">
        <f t="array" ref="O96">IF(ISERROR(_xlfn.XLOOKUP(O$5,'QB_Funds Analysis raw'!$B$5:$AC$5, _xlfn.XLOOKUP($A96,'QB_Funds Analysis raw'!$A$6:$A$104,'QB_Funds Analysis raw'!$B$6:$AC$104))),0,(_xlfn.XLOOKUP(O$5,'QB_Funds Analysis raw'!$B$5:$AC$5, _xlfn.XLOOKUP($A96,'QB_Funds Analysis raw'!$A$6:$A$104,'QB_Funds Analysis raw'!$B$6:$AC$104))))</f>
        <v>0</v>
      </c>
      <c r="P96" s="142" cm="1">
        <f t="array" ref="P96">IF(ISERROR(_xlfn.XLOOKUP(P$5,'QB_Funds Analysis raw'!$B$5:$AC$5, _xlfn.XLOOKUP($A96,'QB_Funds Analysis raw'!$A$6:$A$104,'QB_Funds Analysis raw'!$B$6:$AC$104))),0,(_xlfn.XLOOKUP(P$5,'QB_Funds Analysis raw'!$B$5:$AC$5, _xlfn.XLOOKUP($A96,'QB_Funds Analysis raw'!$A$6:$A$104,'QB_Funds Analysis raw'!$B$6:$AC$104))))</f>
        <v>0</v>
      </c>
      <c r="Q96" s="247" cm="1">
        <f t="array" ref="Q96">IF(ISERROR(_xlfn.XLOOKUP(Q$5,'QB_Funds Analysis raw'!$B$5:$AC$5, _xlfn.XLOOKUP($A96,'QB_Funds Analysis raw'!$A$6:$A$104,'QB_Funds Analysis raw'!$B$6:$AC$104))),0,(_xlfn.XLOOKUP(Q$5,'QB_Funds Analysis raw'!$B$5:$AC$5, _xlfn.XLOOKUP($A96,'QB_Funds Analysis raw'!$A$6:$A$104,'QB_Funds Analysis raw'!$B$6:$AC$104))))</f>
        <v>0</v>
      </c>
      <c r="R96" s="142" cm="1">
        <f t="array" ref="R96">IF(ISERROR(_xlfn.XLOOKUP(R$5,'QB_Funds Analysis raw'!$B$5:$AC$5, _xlfn.XLOOKUP($A96,'QB_Funds Analysis raw'!$A$6:$A$104,'QB_Funds Analysis raw'!$B$6:$AC$104))),0,(_xlfn.XLOOKUP(R$5,'QB_Funds Analysis raw'!$B$5:$AC$5, _xlfn.XLOOKUP($A96,'QB_Funds Analysis raw'!$A$6:$A$104,'QB_Funds Analysis raw'!$B$6:$AC$104))))</f>
        <v>0</v>
      </c>
      <c r="S96" s="142" cm="1">
        <f t="array" ref="S96">IF(ISERROR(_xlfn.XLOOKUP(S$5,'QB_Funds Analysis raw'!$B$5:$AC$5, _xlfn.XLOOKUP($A96,'QB_Funds Analysis raw'!$A$6:$A$104,'QB_Funds Analysis raw'!$B$6:$AC$104))),0,(_xlfn.XLOOKUP(S$5,'QB_Funds Analysis raw'!$B$5:$AC$5, _xlfn.XLOOKUP($A96,'QB_Funds Analysis raw'!$A$6:$A$104,'QB_Funds Analysis raw'!$B$6:$AC$104))))</f>
        <v>0</v>
      </c>
      <c r="T96" s="142" cm="1">
        <f t="array" ref="T96">IF(ISERROR(_xlfn.XLOOKUP(T$5,'QB_Funds Analysis raw'!$B$5:$AC$5, _xlfn.XLOOKUP($A96,'QB_Funds Analysis raw'!$A$6:$A$104,'QB_Funds Analysis raw'!$B$6:$AC$104))),0,(_xlfn.XLOOKUP(T$5,'QB_Funds Analysis raw'!$B$5:$AC$5, _xlfn.XLOOKUP($A96,'QB_Funds Analysis raw'!$A$6:$A$104,'QB_Funds Analysis raw'!$B$6:$AC$104))))</f>
        <v>0</v>
      </c>
      <c r="U96" s="142" cm="1">
        <f t="array" ref="U96">IF(ISERROR(_xlfn.XLOOKUP(U$5,'QB_Funds Analysis raw'!$B$5:$AC$5, _xlfn.XLOOKUP($A96,'QB_Funds Analysis raw'!$A$6:$A$104,'QB_Funds Analysis raw'!$B$6:$AC$104))),0,(_xlfn.XLOOKUP(U$5,'QB_Funds Analysis raw'!$B$5:$AC$5, _xlfn.XLOOKUP($A96,'QB_Funds Analysis raw'!$A$6:$A$104,'QB_Funds Analysis raw'!$B$6:$AC$104))))</f>
        <v>0</v>
      </c>
      <c r="V96" s="142" cm="1">
        <f t="array" ref="V96">IF(ISERROR(_xlfn.XLOOKUP(V$5,'QB_Funds Analysis raw'!$B$5:$AC$5, _xlfn.XLOOKUP($A96,'QB_Funds Analysis raw'!$A$6:$A$104,'QB_Funds Analysis raw'!$B$6:$AC$104))),0,(_xlfn.XLOOKUP(V$5,'QB_Funds Analysis raw'!$B$5:$AC$5, _xlfn.XLOOKUP($A96,'QB_Funds Analysis raw'!$A$6:$A$104,'QB_Funds Analysis raw'!$B$6:$AC$104))))</f>
        <v>0</v>
      </c>
      <c r="W96" s="142">
        <v>1311.47</v>
      </c>
      <c r="X96" s="142" cm="1">
        <f t="array" ref="X96">IF(ISERROR(_xlfn.XLOOKUP(X$5,'QB_Funds Analysis raw'!$B$5:$AC$5, _xlfn.XLOOKUP($A96,'QB_Funds Analysis raw'!$A$6:$A$104,'QB_Funds Analysis raw'!$B$6:$AC$104))),0,(_xlfn.XLOOKUP(X$5,'QB_Funds Analysis raw'!$B$5:$AC$5, _xlfn.XLOOKUP($A96,'QB_Funds Analysis raw'!$A$6:$A$104,'QB_Funds Analysis raw'!$B$6:$AC$104))))</f>
        <v>0</v>
      </c>
      <c r="Y96" s="142" cm="1">
        <f t="array" ref="Y96">IF(ISERROR(_xlfn.XLOOKUP(Y$5,'QB_Funds Analysis raw'!$B$5:$AC$5, _xlfn.XLOOKUP($A96,'QB_Funds Analysis raw'!$A$6:$A$104,'QB_Funds Analysis raw'!$B$6:$AC$104))),0,(_xlfn.XLOOKUP(Y$5,'QB_Funds Analysis raw'!$B$5:$AC$5, _xlfn.XLOOKUP($A96,'QB_Funds Analysis raw'!$A$6:$A$104,'QB_Funds Analysis raw'!$B$6:$AC$104))))</f>
        <v>0</v>
      </c>
      <c r="Z96" s="142" cm="1">
        <f t="array" ref="Z96">IF(ISERROR(_xlfn.XLOOKUP(Z$5,'QB_Funds Analysis raw'!$B$5:$AC$5, _xlfn.XLOOKUP($A96,'QB_Funds Analysis raw'!$A$6:$A$104,'QB_Funds Analysis raw'!$B$6:$AC$104))),0,(_xlfn.XLOOKUP(Z$5,'QB_Funds Analysis raw'!$B$5:$AC$5, _xlfn.XLOOKUP($A96,'QB_Funds Analysis raw'!$A$6:$A$104,'QB_Funds Analysis raw'!$B$6:$AC$104))))</f>
        <v>0</v>
      </c>
      <c r="AA96" s="142" cm="1">
        <f t="array" ref="AA96">IF(ISERROR(_xlfn.XLOOKUP(AA$5,'QB_Funds Analysis raw'!$B$5:$AC$5, _xlfn.XLOOKUP($A96,'QB_Funds Analysis raw'!$A$6:$A$104,'QB_Funds Analysis raw'!$B$6:$AC$104))),0,(_xlfn.XLOOKUP(AA$5,'QB_Funds Analysis raw'!$B$5:$AC$5, _xlfn.XLOOKUP($A96,'QB_Funds Analysis raw'!$A$6:$A$104,'QB_Funds Analysis raw'!$B$6:$AC$104))))</f>
        <v>0</v>
      </c>
      <c r="AB96" s="142" cm="1">
        <f t="array" ref="AB96">IF(ISERROR(_xlfn.XLOOKUP(AB$5,'QB_Funds Analysis raw'!$B$5:$AC$5, _xlfn.XLOOKUP($A96,'QB_Funds Analysis raw'!$A$6:$A$104,'QB_Funds Analysis raw'!$B$6:$AC$104))),0,(_xlfn.XLOOKUP(AB$5,'QB_Funds Analysis raw'!$B$5:$AC$5, _xlfn.XLOOKUP($A96,'QB_Funds Analysis raw'!$A$6:$A$104,'QB_Funds Analysis raw'!$B$6:$AC$104))))</f>
        <v>0</v>
      </c>
      <c r="AC96" s="142" cm="1">
        <f t="array" ref="AC96">IF(ISERROR(_xlfn.XLOOKUP(AC$5,'QB_Funds Analysis raw'!$B$5:$AC$5, _xlfn.XLOOKUP($A96,'QB_Funds Analysis raw'!$A$6:$A$104,'QB_Funds Analysis raw'!$B$6:$AC$104))),0,(_xlfn.XLOOKUP(AC$5,'QB_Funds Analysis raw'!$B$5:$AC$5, _xlfn.XLOOKUP($A96,'QB_Funds Analysis raw'!$A$6:$A$104,'QB_Funds Analysis raw'!$B$6:$AC$104))))</f>
        <v>0</v>
      </c>
      <c r="AD96" s="167">
        <f t="shared" si="13"/>
        <v>0</v>
      </c>
      <c r="AE96" s="167">
        <f t="shared" si="22"/>
        <v>0</v>
      </c>
    </row>
    <row r="97" spans="1:31" ht="20.25" customHeight="1" x14ac:dyDescent="0.25">
      <c r="A97" s="2" t="s">
        <v>93</v>
      </c>
      <c r="B97" s="142" cm="1">
        <f t="array" ref="B97">IF(ISERROR(_xlfn.XLOOKUP(B$5,'QB_Funds Analysis raw'!$B$5:$AC$5, _xlfn.XLOOKUP($A97,'QB_Funds Analysis raw'!$A$6:$A$104,'QB_Funds Analysis raw'!$B$6:$AC$104))),0,(_xlfn.XLOOKUP(B$5,'QB_Funds Analysis raw'!$B$5:$AC$5, _xlfn.XLOOKUP($A97,'QB_Funds Analysis raw'!$A$6:$A$104,'QB_Funds Analysis raw'!$B$6:$AC$104))))</f>
        <v>0</v>
      </c>
      <c r="C97" s="142" cm="1">
        <f t="array" ref="C97">IF(ISERROR(_xlfn.XLOOKUP(C$5,'QB_Funds Analysis raw'!$B$5:$AC$5, _xlfn.XLOOKUP($A97,'QB_Funds Analysis raw'!$A$6:$A$104,'QB_Funds Analysis raw'!$B$6:$AC$104))),0,(_xlfn.XLOOKUP(C$5,'QB_Funds Analysis raw'!$B$5:$AC$5, _xlfn.XLOOKUP($A97,'QB_Funds Analysis raw'!$A$6:$A$104,'QB_Funds Analysis raw'!$B$6:$AC$104))))</f>
        <v>0</v>
      </c>
      <c r="D97" s="252" cm="1">
        <f t="array" ref="D97">IF(ISERROR(_xlfn.XLOOKUP(D$5,'QB_Funds Analysis raw'!$B$5:$AC$5, _xlfn.XLOOKUP($A97,'QB_Funds Analysis raw'!$A$6:$A$104,'QB_Funds Analysis raw'!$B$6:$AC$104))),0,(_xlfn.XLOOKUP(D$5,'QB_Funds Analysis raw'!$B$5:$AC$5, _xlfn.XLOOKUP($A97,'QB_Funds Analysis raw'!$A$6:$A$104,'QB_Funds Analysis raw'!$B$6:$AC$104))))</f>
        <v>0</v>
      </c>
      <c r="E97" s="142" cm="1">
        <f t="array" ref="E97">IF(ISERROR(_xlfn.XLOOKUP(E$5,'QB_Funds Analysis raw'!$B$5:$AC$5, _xlfn.XLOOKUP($A97,'QB_Funds Analysis raw'!$A$6:$A$104,'QB_Funds Analysis raw'!$B$6:$AC$104))),0,(_xlfn.XLOOKUP(E$5,'QB_Funds Analysis raw'!$B$5:$AC$5, _xlfn.XLOOKUP($A97,'QB_Funds Analysis raw'!$A$6:$A$104,'QB_Funds Analysis raw'!$B$6:$AC$104))))</f>
        <v>0</v>
      </c>
      <c r="F97" s="142" cm="1">
        <f t="array" ref="F97">IF(ISERROR(_xlfn.XLOOKUP(F$5,'QB_Funds Analysis raw'!$B$5:$AC$5, _xlfn.XLOOKUP($A97,'QB_Funds Analysis raw'!$A$6:$A$104,'QB_Funds Analysis raw'!$B$6:$AC$104))),0,(_xlfn.XLOOKUP(F$5,'QB_Funds Analysis raw'!$B$5:$AC$5, _xlfn.XLOOKUP($A97,'QB_Funds Analysis raw'!$A$6:$A$104,'QB_Funds Analysis raw'!$B$6:$AC$104))))</f>
        <v>0</v>
      </c>
      <c r="G97" s="142" cm="1">
        <f t="array" ref="G97">IF(ISERROR(_xlfn.XLOOKUP(G$5,'QB_Funds Analysis raw'!$B$5:$AC$5, _xlfn.XLOOKUP($A97,'QB_Funds Analysis raw'!$A$6:$A$104,'QB_Funds Analysis raw'!$B$6:$AC$104))),0,(_xlfn.XLOOKUP(G$5,'QB_Funds Analysis raw'!$B$5:$AC$5, _xlfn.XLOOKUP($A97,'QB_Funds Analysis raw'!$A$6:$A$104,'QB_Funds Analysis raw'!$B$6:$AC$104))))</f>
        <v>0</v>
      </c>
      <c r="H97" s="142" cm="1">
        <f t="array" ref="H97">IF(ISERROR(_xlfn.XLOOKUP(H$5,'QB_Funds Analysis raw'!$B$5:$AC$5, _xlfn.XLOOKUP($A97,'QB_Funds Analysis raw'!$A$6:$A$104,'QB_Funds Analysis raw'!$B$6:$AC$104))),0,(_xlfn.XLOOKUP(H$5,'QB_Funds Analysis raw'!$B$5:$AC$5, _xlfn.XLOOKUP($A97,'QB_Funds Analysis raw'!$A$6:$A$104,'QB_Funds Analysis raw'!$B$6:$AC$104))))</f>
        <v>0</v>
      </c>
      <c r="I97" s="142" cm="1">
        <f t="array" ref="I97">IF(ISERROR(_xlfn.XLOOKUP(I$5,'QB_Funds Analysis raw'!$B$5:$AC$5, _xlfn.XLOOKUP($A97,'QB_Funds Analysis raw'!$A$6:$A$104,'QB_Funds Analysis raw'!$B$6:$AC$104))),0,(_xlfn.XLOOKUP(I$5,'QB_Funds Analysis raw'!$B$5:$AC$5, _xlfn.XLOOKUP($A97,'QB_Funds Analysis raw'!$A$6:$A$104,'QB_Funds Analysis raw'!$B$6:$AC$104))))</f>
        <v>0</v>
      </c>
      <c r="J97" s="142" cm="1">
        <f t="array" ref="J97">IF(ISERROR(_xlfn.XLOOKUP(J$5,'QB_Funds Analysis raw'!$B$5:$AC$5, _xlfn.XLOOKUP($A97,'QB_Funds Analysis raw'!$A$6:$A$104,'QB_Funds Analysis raw'!$B$6:$AC$104))),0,(_xlfn.XLOOKUP(J$5,'QB_Funds Analysis raw'!$B$5:$AC$5, _xlfn.XLOOKUP($A97,'QB_Funds Analysis raw'!$A$6:$A$104,'QB_Funds Analysis raw'!$B$6:$AC$104))))</f>
        <v>0</v>
      </c>
      <c r="K97" s="252" cm="1">
        <f t="array" ref="K97">IF(ISERROR(_xlfn.XLOOKUP(K$5,'QB_Funds Analysis raw'!$B$5:$AC$5, _xlfn.XLOOKUP($A97,'QB_Funds Analysis raw'!$A$6:$A$104,'QB_Funds Analysis raw'!$B$6:$AC$104))),0,(_xlfn.XLOOKUP(K$5,'QB_Funds Analysis raw'!$B$5:$AC$5, _xlfn.XLOOKUP($A97,'QB_Funds Analysis raw'!$A$6:$A$104,'QB_Funds Analysis raw'!$B$6:$AC$104))))</f>
        <v>0</v>
      </c>
      <c r="L97" s="142" cm="1">
        <f t="array" ref="L97">IF(ISERROR(_xlfn.XLOOKUP(L$5,'QB_Funds Analysis raw'!$B$5:$AC$5, _xlfn.XLOOKUP($A97,'QB_Funds Analysis raw'!$A$6:$A$104,'QB_Funds Analysis raw'!$B$6:$AC$104))),0,(_xlfn.XLOOKUP(L$5,'QB_Funds Analysis raw'!$B$5:$AC$5, _xlfn.XLOOKUP($A97,'QB_Funds Analysis raw'!$A$6:$A$104,'QB_Funds Analysis raw'!$B$6:$AC$104))))</f>
        <v>0</v>
      </c>
      <c r="M97" s="142" cm="1">
        <f t="array" ref="M97">IF(ISERROR(_xlfn.XLOOKUP(M$5,'QB_Funds Analysis raw'!$B$5:$AC$5, _xlfn.XLOOKUP($A97,'QB_Funds Analysis raw'!$A$6:$A$104,'QB_Funds Analysis raw'!$B$6:$AC$104))),0,(_xlfn.XLOOKUP(M$5,'QB_Funds Analysis raw'!$B$5:$AC$5, _xlfn.XLOOKUP($A97,'QB_Funds Analysis raw'!$A$6:$A$104,'QB_Funds Analysis raw'!$B$6:$AC$104))))</f>
        <v>0</v>
      </c>
      <c r="N97" s="252" cm="1">
        <f t="array" ref="N97">IF(ISERROR(_xlfn.XLOOKUP(N$5,'QB_Funds Analysis raw'!$B$5:$AC$5, _xlfn.XLOOKUP($A97,'QB_Funds Analysis raw'!$A$6:$A$104,'QB_Funds Analysis raw'!$B$6:$AC$104))),0,(_xlfn.XLOOKUP(N$5,'QB_Funds Analysis raw'!$B$5:$AC$5, _xlfn.XLOOKUP($A97,'QB_Funds Analysis raw'!$A$6:$A$104,'QB_Funds Analysis raw'!$B$6:$AC$104))))</f>
        <v>0</v>
      </c>
      <c r="O97" s="252" cm="1">
        <f t="array" ref="O97">IF(ISERROR(_xlfn.XLOOKUP(O$5,'QB_Funds Analysis raw'!$B$5:$AC$5, _xlfn.XLOOKUP($A97,'QB_Funds Analysis raw'!$A$6:$A$104,'QB_Funds Analysis raw'!$B$6:$AC$104))),0,(_xlfn.XLOOKUP(O$5,'QB_Funds Analysis raw'!$B$5:$AC$5, _xlfn.XLOOKUP($A97,'QB_Funds Analysis raw'!$A$6:$A$104,'QB_Funds Analysis raw'!$B$6:$AC$104))))</f>
        <v>0</v>
      </c>
      <c r="P97" s="142" cm="1">
        <f t="array" ref="P97">IF(ISERROR(_xlfn.XLOOKUP(P$5,'QB_Funds Analysis raw'!$B$5:$AC$5, _xlfn.XLOOKUP($A97,'QB_Funds Analysis raw'!$A$6:$A$104,'QB_Funds Analysis raw'!$B$6:$AC$104))),0,(_xlfn.XLOOKUP(P$5,'QB_Funds Analysis raw'!$B$5:$AC$5, _xlfn.XLOOKUP($A97,'QB_Funds Analysis raw'!$A$6:$A$104,'QB_Funds Analysis raw'!$B$6:$AC$104))))</f>
        <v>0</v>
      </c>
      <c r="Q97" s="247" cm="1">
        <f t="array" ref="Q97">IF(ISERROR(_xlfn.XLOOKUP(Q$5,'QB_Funds Analysis raw'!$B$5:$AC$5, _xlfn.XLOOKUP($A97,'QB_Funds Analysis raw'!$A$6:$A$104,'QB_Funds Analysis raw'!$B$6:$AC$104))),0,(_xlfn.XLOOKUP(Q$5,'QB_Funds Analysis raw'!$B$5:$AC$5, _xlfn.XLOOKUP($A97,'QB_Funds Analysis raw'!$A$6:$A$104,'QB_Funds Analysis raw'!$B$6:$AC$104))))</f>
        <v>40.090000000000003</v>
      </c>
      <c r="R97" s="142" cm="1">
        <f t="array" ref="R97">IF(ISERROR(_xlfn.XLOOKUP(R$5,'QB_Funds Analysis raw'!$B$5:$AC$5, _xlfn.XLOOKUP($A97,'QB_Funds Analysis raw'!$A$6:$A$104,'QB_Funds Analysis raw'!$B$6:$AC$104))),0,(_xlfn.XLOOKUP(R$5,'QB_Funds Analysis raw'!$B$5:$AC$5, _xlfn.XLOOKUP($A97,'QB_Funds Analysis raw'!$A$6:$A$104,'QB_Funds Analysis raw'!$B$6:$AC$104))))</f>
        <v>0</v>
      </c>
      <c r="S97" s="142" cm="1">
        <f t="array" ref="S97">IF(ISERROR(_xlfn.XLOOKUP(S$5,'QB_Funds Analysis raw'!$B$5:$AC$5, _xlfn.XLOOKUP($A97,'QB_Funds Analysis raw'!$A$6:$A$104,'QB_Funds Analysis raw'!$B$6:$AC$104))),0,(_xlfn.XLOOKUP(S$5,'QB_Funds Analysis raw'!$B$5:$AC$5, _xlfn.XLOOKUP($A97,'QB_Funds Analysis raw'!$A$6:$A$104,'QB_Funds Analysis raw'!$B$6:$AC$104))))</f>
        <v>0</v>
      </c>
      <c r="T97" s="142" cm="1">
        <f t="array" ref="T97">IF(ISERROR(_xlfn.XLOOKUP(T$5,'QB_Funds Analysis raw'!$B$5:$AC$5, _xlfn.XLOOKUP($A97,'QB_Funds Analysis raw'!$A$6:$A$104,'QB_Funds Analysis raw'!$B$6:$AC$104))),0,(_xlfn.XLOOKUP(T$5,'QB_Funds Analysis raw'!$B$5:$AC$5, _xlfn.XLOOKUP($A97,'QB_Funds Analysis raw'!$A$6:$A$104,'QB_Funds Analysis raw'!$B$6:$AC$104))))</f>
        <v>0</v>
      </c>
      <c r="U97" s="142" cm="1">
        <f t="array" ref="U97">IF(ISERROR(_xlfn.XLOOKUP(U$5,'QB_Funds Analysis raw'!$B$5:$AC$5, _xlfn.XLOOKUP($A97,'QB_Funds Analysis raw'!$A$6:$A$104,'QB_Funds Analysis raw'!$B$6:$AC$104))),0,(_xlfn.XLOOKUP(U$5,'QB_Funds Analysis raw'!$B$5:$AC$5, _xlfn.XLOOKUP($A97,'QB_Funds Analysis raw'!$A$6:$A$104,'QB_Funds Analysis raw'!$B$6:$AC$104))))</f>
        <v>0</v>
      </c>
      <c r="V97" s="142" cm="1">
        <f t="array" ref="V97">IF(ISERROR(_xlfn.XLOOKUP(V$5,'QB_Funds Analysis raw'!$B$5:$AC$5, _xlfn.XLOOKUP($A97,'QB_Funds Analysis raw'!$A$6:$A$104,'QB_Funds Analysis raw'!$B$6:$AC$104))),0,(_xlfn.XLOOKUP(V$5,'QB_Funds Analysis raw'!$B$5:$AC$5, _xlfn.XLOOKUP($A97,'QB_Funds Analysis raw'!$A$6:$A$104,'QB_Funds Analysis raw'!$B$6:$AC$104))))</f>
        <v>0</v>
      </c>
      <c r="W97" s="142" cm="1">
        <f t="array" ref="W97">IF(ISERROR(_xlfn.XLOOKUP(W$5,'QB_Funds Analysis raw'!$B$5:$AC$5, _xlfn.XLOOKUP($A97,'QB_Funds Analysis raw'!$A$6:$A$104,'QB_Funds Analysis raw'!$B$6:$AC$104))),0,(_xlfn.XLOOKUP(W$5,'QB_Funds Analysis raw'!$B$5:$AC$5, _xlfn.XLOOKUP($A97,'QB_Funds Analysis raw'!$A$6:$A$104,'QB_Funds Analysis raw'!$B$6:$AC$104))))</f>
        <v>0</v>
      </c>
      <c r="X97" s="142" cm="1">
        <f t="array" ref="X97">IF(ISERROR(_xlfn.XLOOKUP(X$5,'QB_Funds Analysis raw'!$B$5:$AC$5, _xlfn.XLOOKUP($A97,'QB_Funds Analysis raw'!$A$6:$A$104,'QB_Funds Analysis raw'!$B$6:$AC$104))),0,(_xlfn.XLOOKUP(X$5,'QB_Funds Analysis raw'!$B$5:$AC$5, _xlfn.XLOOKUP($A97,'QB_Funds Analysis raw'!$A$6:$A$104,'QB_Funds Analysis raw'!$B$6:$AC$104))))</f>
        <v>0</v>
      </c>
      <c r="Y97" s="142" cm="1">
        <f t="array" ref="Y97">IF(ISERROR(_xlfn.XLOOKUP(Y$5,'QB_Funds Analysis raw'!$B$5:$AC$5, _xlfn.XLOOKUP($A97,'QB_Funds Analysis raw'!$A$6:$A$104,'QB_Funds Analysis raw'!$B$6:$AC$104))),0,(_xlfn.XLOOKUP(Y$5,'QB_Funds Analysis raw'!$B$5:$AC$5, _xlfn.XLOOKUP($A97,'QB_Funds Analysis raw'!$A$6:$A$104,'QB_Funds Analysis raw'!$B$6:$AC$104))))</f>
        <v>0</v>
      </c>
      <c r="Z97" s="142" cm="1">
        <f t="array" ref="Z97">IF(ISERROR(_xlfn.XLOOKUP(Z$5,'QB_Funds Analysis raw'!$B$5:$AC$5, _xlfn.XLOOKUP($A97,'QB_Funds Analysis raw'!$A$6:$A$104,'QB_Funds Analysis raw'!$B$6:$AC$104))),0,(_xlfn.XLOOKUP(Z$5,'QB_Funds Analysis raw'!$B$5:$AC$5, _xlfn.XLOOKUP($A97,'QB_Funds Analysis raw'!$A$6:$A$104,'QB_Funds Analysis raw'!$B$6:$AC$104))))</f>
        <v>0</v>
      </c>
      <c r="AA97" s="142" cm="1">
        <f t="array" ref="AA97">IF(ISERROR(_xlfn.XLOOKUP(AA$5,'QB_Funds Analysis raw'!$B$5:$AC$5, _xlfn.XLOOKUP($A97,'QB_Funds Analysis raw'!$A$6:$A$104,'QB_Funds Analysis raw'!$B$6:$AC$104))),0,(_xlfn.XLOOKUP(AA$5,'QB_Funds Analysis raw'!$B$5:$AC$5, _xlfn.XLOOKUP($A97,'QB_Funds Analysis raw'!$A$6:$A$104,'QB_Funds Analysis raw'!$B$6:$AC$104))))</f>
        <v>0</v>
      </c>
      <c r="AB97" s="142" cm="1">
        <f t="array" ref="AB97">IF(ISERROR(_xlfn.XLOOKUP(AB$5,'QB_Funds Analysis raw'!$B$5:$AC$5, _xlfn.XLOOKUP($A97,'QB_Funds Analysis raw'!$A$6:$A$104,'QB_Funds Analysis raw'!$B$6:$AC$104))),0,(_xlfn.XLOOKUP(AB$5,'QB_Funds Analysis raw'!$B$5:$AC$5, _xlfn.XLOOKUP($A97,'QB_Funds Analysis raw'!$A$6:$A$104,'QB_Funds Analysis raw'!$B$6:$AC$104))))</f>
        <v>1860.71</v>
      </c>
      <c r="AC97" s="142" cm="1">
        <f t="array" ref="AC97">IF(ISERROR(_xlfn.XLOOKUP(AC$5,'QB_Funds Analysis raw'!$B$5:$AC$5, _xlfn.XLOOKUP($A97,'QB_Funds Analysis raw'!$A$6:$A$104,'QB_Funds Analysis raw'!$B$6:$AC$104))),0,(_xlfn.XLOOKUP(AC$5,'QB_Funds Analysis raw'!$B$5:$AC$5, _xlfn.XLOOKUP($A97,'QB_Funds Analysis raw'!$A$6:$A$104,'QB_Funds Analysis raw'!$B$6:$AC$104))))</f>
        <v>1900.8</v>
      </c>
      <c r="AD97" s="167">
        <f t="shared" si="13"/>
        <v>1900.8</v>
      </c>
      <c r="AE97" s="167">
        <f t="shared" si="22"/>
        <v>0</v>
      </c>
    </row>
    <row r="98" spans="1:31" ht="23.25" x14ac:dyDescent="0.25">
      <c r="A98" s="2" t="s">
        <v>469</v>
      </c>
      <c r="B98" s="142" cm="1">
        <f t="array" ref="B98">IF(ISERROR(_xlfn.XLOOKUP(B$5,'QB_Funds Analysis raw'!$B$5:$AC$5, _xlfn.XLOOKUP($A98,'QB_Funds Analysis raw'!$A$6:$A$104,'QB_Funds Analysis raw'!$B$6:$AC$104))),0,(_xlfn.XLOOKUP(B$5,'QB_Funds Analysis raw'!$B$5:$AC$5, _xlfn.XLOOKUP($A98,'QB_Funds Analysis raw'!$A$6:$A$104,'QB_Funds Analysis raw'!$B$6:$AC$104))))</f>
        <v>0</v>
      </c>
      <c r="C98" s="142" cm="1">
        <f t="array" ref="C98">IF(ISERROR(_xlfn.XLOOKUP(C$5,'QB_Funds Analysis raw'!$B$5:$AC$5, _xlfn.XLOOKUP($A98,'QB_Funds Analysis raw'!$A$6:$A$104,'QB_Funds Analysis raw'!$B$6:$AC$104))),0,(_xlfn.XLOOKUP(C$5,'QB_Funds Analysis raw'!$B$5:$AC$5, _xlfn.XLOOKUP($A98,'QB_Funds Analysis raw'!$A$6:$A$104,'QB_Funds Analysis raw'!$B$6:$AC$104))))</f>
        <v>0</v>
      </c>
      <c r="D98" s="252" cm="1">
        <f t="array" ref="D98">IF(ISERROR(_xlfn.XLOOKUP(D$5,'QB_Funds Analysis raw'!$B$5:$AC$5, _xlfn.XLOOKUP($A98,'QB_Funds Analysis raw'!$A$6:$A$104,'QB_Funds Analysis raw'!$B$6:$AC$104))),0,(_xlfn.XLOOKUP(D$5,'QB_Funds Analysis raw'!$B$5:$AC$5, _xlfn.XLOOKUP($A98,'QB_Funds Analysis raw'!$A$6:$A$104,'QB_Funds Analysis raw'!$B$6:$AC$104))))</f>
        <v>0</v>
      </c>
      <c r="E98" s="142" cm="1">
        <f t="array" ref="E98">IF(ISERROR(_xlfn.XLOOKUP(E$5,'QB_Funds Analysis raw'!$B$5:$AC$5, _xlfn.XLOOKUP($A98,'QB_Funds Analysis raw'!$A$6:$A$104,'QB_Funds Analysis raw'!$B$6:$AC$104))),0,(_xlfn.XLOOKUP(E$5,'QB_Funds Analysis raw'!$B$5:$AC$5, _xlfn.XLOOKUP($A98,'QB_Funds Analysis raw'!$A$6:$A$104,'QB_Funds Analysis raw'!$B$6:$AC$104))))</f>
        <v>0</v>
      </c>
      <c r="F98" s="142" cm="1">
        <f t="array" ref="F98">IF(ISERROR(_xlfn.XLOOKUP(F$5,'QB_Funds Analysis raw'!$B$5:$AC$5, _xlfn.XLOOKUP($A98,'QB_Funds Analysis raw'!$A$6:$A$104,'QB_Funds Analysis raw'!$B$6:$AC$104))),0,(_xlfn.XLOOKUP(F$5,'QB_Funds Analysis raw'!$B$5:$AC$5, _xlfn.XLOOKUP($A98,'QB_Funds Analysis raw'!$A$6:$A$104,'QB_Funds Analysis raw'!$B$6:$AC$104))))</f>
        <v>0</v>
      </c>
      <c r="G98" s="142" cm="1">
        <f t="array" ref="G98">IF(ISERROR(_xlfn.XLOOKUP(G$5,'QB_Funds Analysis raw'!$B$5:$AC$5, _xlfn.XLOOKUP($A98,'QB_Funds Analysis raw'!$A$6:$A$104,'QB_Funds Analysis raw'!$B$6:$AC$104))),0,(_xlfn.XLOOKUP(G$5,'QB_Funds Analysis raw'!$B$5:$AC$5, _xlfn.XLOOKUP($A98,'QB_Funds Analysis raw'!$A$6:$A$104,'QB_Funds Analysis raw'!$B$6:$AC$104))))</f>
        <v>0</v>
      </c>
      <c r="H98" s="142" cm="1">
        <f t="array" ref="H98">IF(ISERROR(_xlfn.XLOOKUP(H$5,'QB_Funds Analysis raw'!$B$5:$AC$5, _xlfn.XLOOKUP($A98,'QB_Funds Analysis raw'!$A$6:$A$104,'QB_Funds Analysis raw'!$B$6:$AC$104))),0,(_xlfn.XLOOKUP(H$5,'QB_Funds Analysis raw'!$B$5:$AC$5, _xlfn.XLOOKUP($A98,'QB_Funds Analysis raw'!$A$6:$A$104,'QB_Funds Analysis raw'!$B$6:$AC$104))))</f>
        <v>0</v>
      </c>
      <c r="I98" s="142" cm="1">
        <f t="array" ref="I98">IF(ISERROR(_xlfn.XLOOKUP(I$5,'QB_Funds Analysis raw'!$B$5:$AC$5, _xlfn.XLOOKUP($A98,'QB_Funds Analysis raw'!$A$6:$A$104,'QB_Funds Analysis raw'!$B$6:$AC$104))),0,(_xlfn.XLOOKUP(I$5,'QB_Funds Analysis raw'!$B$5:$AC$5, _xlfn.XLOOKUP($A98,'QB_Funds Analysis raw'!$A$6:$A$104,'QB_Funds Analysis raw'!$B$6:$AC$104))))</f>
        <v>0</v>
      </c>
      <c r="J98" s="142" cm="1">
        <f t="array" ref="J98">IF(ISERROR(_xlfn.XLOOKUP(J$5,'QB_Funds Analysis raw'!$B$5:$AC$5, _xlfn.XLOOKUP($A98,'QB_Funds Analysis raw'!$A$6:$A$104,'QB_Funds Analysis raw'!$B$6:$AC$104))),0,(_xlfn.XLOOKUP(J$5,'QB_Funds Analysis raw'!$B$5:$AC$5, _xlfn.XLOOKUP($A98,'QB_Funds Analysis raw'!$A$6:$A$104,'QB_Funds Analysis raw'!$B$6:$AC$104))))</f>
        <v>0</v>
      </c>
      <c r="K98" s="252" cm="1">
        <f t="array" ref="K98">IF(ISERROR(_xlfn.XLOOKUP(K$5,'QB_Funds Analysis raw'!$B$5:$AC$5, _xlfn.XLOOKUP($A98,'QB_Funds Analysis raw'!$A$6:$A$104,'QB_Funds Analysis raw'!$B$6:$AC$104))),0,(_xlfn.XLOOKUP(K$5,'QB_Funds Analysis raw'!$B$5:$AC$5, _xlfn.XLOOKUP($A98,'QB_Funds Analysis raw'!$A$6:$A$104,'QB_Funds Analysis raw'!$B$6:$AC$104))))</f>
        <v>0</v>
      </c>
      <c r="L98" s="142" cm="1">
        <f t="array" ref="L98">IF(ISERROR(_xlfn.XLOOKUP(L$5,'QB_Funds Analysis raw'!$B$5:$AC$5, _xlfn.XLOOKUP($A98,'QB_Funds Analysis raw'!$A$6:$A$104,'QB_Funds Analysis raw'!$B$6:$AC$104))),0,(_xlfn.XLOOKUP(L$5,'QB_Funds Analysis raw'!$B$5:$AC$5, _xlfn.XLOOKUP($A98,'QB_Funds Analysis raw'!$A$6:$A$104,'QB_Funds Analysis raw'!$B$6:$AC$104))))</f>
        <v>0</v>
      </c>
      <c r="M98" s="142" cm="1">
        <f t="array" ref="M98">IF(ISERROR(_xlfn.XLOOKUP(M$5,'QB_Funds Analysis raw'!$B$5:$AC$5, _xlfn.XLOOKUP($A98,'QB_Funds Analysis raw'!$A$6:$A$104,'QB_Funds Analysis raw'!$B$6:$AC$104))),0,(_xlfn.XLOOKUP(M$5,'QB_Funds Analysis raw'!$B$5:$AC$5, _xlfn.XLOOKUP($A98,'QB_Funds Analysis raw'!$A$6:$A$104,'QB_Funds Analysis raw'!$B$6:$AC$104))))</f>
        <v>0</v>
      </c>
      <c r="N98" s="252" cm="1">
        <f t="array" ref="N98">IF(ISERROR(_xlfn.XLOOKUP(N$5,'QB_Funds Analysis raw'!$B$5:$AC$5, _xlfn.XLOOKUP($A98,'QB_Funds Analysis raw'!$A$6:$A$104,'QB_Funds Analysis raw'!$B$6:$AC$104))),0,(_xlfn.XLOOKUP(N$5,'QB_Funds Analysis raw'!$B$5:$AC$5, _xlfn.XLOOKUP($A98,'QB_Funds Analysis raw'!$A$6:$A$104,'QB_Funds Analysis raw'!$B$6:$AC$104))))</f>
        <v>212.65</v>
      </c>
      <c r="O98" s="252" cm="1">
        <f t="array" ref="O98">IF(ISERROR(_xlfn.XLOOKUP(O$5,'QB_Funds Analysis raw'!$B$5:$AC$5, _xlfn.XLOOKUP($A98,'QB_Funds Analysis raw'!$A$6:$A$104,'QB_Funds Analysis raw'!$B$6:$AC$104))),0,(_xlfn.XLOOKUP(O$5,'QB_Funds Analysis raw'!$B$5:$AC$5, _xlfn.XLOOKUP($A98,'QB_Funds Analysis raw'!$A$6:$A$104,'QB_Funds Analysis raw'!$B$6:$AC$104))))</f>
        <v>0</v>
      </c>
      <c r="P98" s="142" cm="1">
        <f t="array" ref="P98">IF(ISERROR(_xlfn.XLOOKUP(P$5,'QB_Funds Analysis raw'!$B$5:$AC$5, _xlfn.XLOOKUP($A98,'QB_Funds Analysis raw'!$A$6:$A$104,'QB_Funds Analysis raw'!$B$6:$AC$104))),0,(_xlfn.XLOOKUP(P$5,'QB_Funds Analysis raw'!$B$5:$AC$5, _xlfn.XLOOKUP($A98,'QB_Funds Analysis raw'!$A$6:$A$104,'QB_Funds Analysis raw'!$B$6:$AC$104))))</f>
        <v>0</v>
      </c>
      <c r="Q98" s="247" cm="1">
        <f t="array" ref="Q98">IF(ISERROR(_xlfn.XLOOKUP(Q$5,'QB_Funds Analysis raw'!$B$5:$AC$5, _xlfn.XLOOKUP($A98,'QB_Funds Analysis raw'!$A$6:$A$104,'QB_Funds Analysis raw'!$B$6:$AC$104))),0,(_xlfn.XLOOKUP(Q$5,'QB_Funds Analysis raw'!$B$5:$AC$5, _xlfn.XLOOKUP($A98,'QB_Funds Analysis raw'!$A$6:$A$104,'QB_Funds Analysis raw'!$B$6:$AC$104))))</f>
        <v>212.65</v>
      </c>
      <c r="R98" s="142" cm="1">
        <f t="array" ref="R98">IF(ISERROR(_xlfn.XLOOKUP(R$5,'QB_Funds Analysis raw'!$B$5:$AC$5, _xlfn.XLOOKUP($A98,'QB_Funds Analysis raw'!$A$6:$A$104,'QB_Funds Analysis raw'!$B$6:$AC$104))),0,(_xlfn.XLOOKUP(R$5,'QB_Funds Analysis raw'!$B$5:$AC$5, _xlfn.XLOOKUP($A98,'QB_Funds Analysis raw'!$A$6:$A$104,'QB_Funds Analysis raw'!$B$6:$AC$104))))</f>
        <v>0</v>
      </c>
      <c r="S98" s="142" cm="1">
        <f t="array" ref="S98">IF(ISERROR(_xlfn.XLOOKUP(S$5,'QB_Funds Analysis raw'!$B$5:$AC$5, _xlfn.XLOOKUP($A98,'QB_Funds Analysis raw'!$A$6:$A$104,'QB_Funds Analysis raw'!$B$6:$AC$104))),0,(_xlfn.XLOOKUP(S$5,'QB_Funds Analysis raw'!$B$5:$AC$5, _xlfn.XLOOKUP($A98,'QB_Funds Analysis raw'!$A$6:$A$104,'QB_Funds Analysis raw'!$B$6:$AC$104))))</f>
        <v>0</v>
      </c>
      <c r="T98" s="142" cm="1">
        <f t="array" ref="T98">IF(ISERROR(_xlfn.XLOOKUP(T$5,'QB_Funds Analysis raw'!$B$5:$AC$5, _xlfn.XLOOKUP($A98,'QB_Funds Analysis raw'!$A$6:$A$104,'QB_Funds Analysis raw'!$B$6:$AC$104))),0,(_xlfn.XLOOKUP(T$5,'QB_Funds Analysis raw'!$B$5:$AC$5, _xlfn.XLOOKUP($A98,'QB_Funds Analysis raw'!$A$6:$A$104,'QB_Funds Analysis raw'!$B$6:$AC$104))))</f>
        <v>0</v>
      </c>
      <c r="U98" s="142" cm="1">
        <f t="array" ref="U98">IF(ISERROR(_xlfn.XLOOKUP(U$5,'QB_Funds Analysis raw'!$B$5:$AC$5, _xlfn.XLOOKUP($A98,'QB_Funds Analysis raw'!$A$6:$A$104,'QB_Funds Analysis raw'!$B$6:$AC$104))),0,(_xlfn.XLOOKUP(U$5,'QB_Funds Analysis raw'!$B$5:$AC$5, _xlfn.XLOOKUP($A98,'QB_Funds Analysis raw'!$A$6:$A$104,'QB_Funds Analysis raw'!$B$6:$AC$104))))</f>
        <v>0</v>
      </c>
      <c r="V98" s="142" cm="1">
        <f t="array" ref="V98">IF(ISERROR(_xlfn.XLOOKUP(V$5,'QB_Funds Analysis raw'!$B$5:$AC$5, _xlfn.XLOOKUP($A98,'QB_Funds Analysis raw'!$A$6:$A$104,'QB_Funds Analysis raw'!$B$6:$AC$104))),0,(_xlfn.XLOOKUP(V$5,'QB_Funds Analysis raw'!$B$5:$AC$5, _xlfn.XLOOKUP($A98,'QB_Funds Analysis raw'!$A$6:$A$104,'QB_Funds Analysis raw'!$B$6:$AC$104))))</f>
        <v>0</v>
      </c>
      <c r="W98" s="142" cm="1">
        <f t="array" ref="W98">IF(ISERROR(_xlfn.XLOOKUP(W$5,'QB_Funds Analysis raw'!$B$5:$AC$5, _xlfn.XLOOKUP($A98,'QB_Funds Analysis raw'!$A$6:$A$104,'QB_Funds Analysis raw'!$B$6:$AC$104))),0,(_xlfn.XLOOKUP(W$5,'QB_Funds Analysis raw'!$B$5:$AC$5, _xlfn.XLOOKUP($A98,'QB_Funds Analysis raw'!$A$6:$A$104,'QB_Funds Analysis raw'!$B$6:$AC$104))))</f>
        <v>0</v>
      </c>
      <c r="X98" s="142" cm="1">
        <f t="array" ref="X98">IF(ISERROR(_xlfn.XLOOKUP(X$5,'QB_Funds Analysis raw'!$B$5:$AC$5, _xlfn.XLOOKUP($A98,'QB_Funds Analysis raw'!$A$6:$A$104,'QB_Funds Analysis raw'!$B$6:$AC$104))),0,(_xlfn.XLOOKUP(X$5,'QB_Funds Analysis raw'!$B$5:$AC$5, _xlfn.XLOOKUP($A98,'QB_Funds Analysis raw'!$A$6:$A$104,'QB_Funds Analysis raw'!$B$6:$AC$104))))</f>
        <v>0</v>
      </c>
      <c r="Y98" s="142" cm="1">
        <f t="array" ref="Y98">IF(ISERROR(_xlfn.XLOOKUP(Y$5,'QB_Funds Analysis raw'!$B$5:$AC$5, _xlfn.XLOOKUP($A98,'QB_Funds Analysis raw'!$A$6:$A$104,'QB_Funds Analysis raw'!$B$6:$AC$104))),0,(_xlfn.XLOOKUP(Y$5,'QB_Funds Analysis raw'!$B$5:$AC$5, _xlfn.XLOOKUP($A98,'QB_Funds Analysis raw'!$A$6:$A$104,'QB_Funds Analysis raw'!$B$6:$AC$104))))</f>
        <v>0</v>
      </c>
      <c r="Z98" s="142" cm="1">
        <f t="array" ref="Z98">IF(ISERROR(_xlfn.XLOOKUP(Z$5,'QB_Funds Analysis raw'!$B$5:$AC$5, _xlfn.XLOOKUP($A98,'QB_Funds Analysis raw'!$A$6:$A$104,'QB_Funds Analysis raw'!$B$6:$AC$104))),0,(_xlfn.XLOOKUP(Z$5,'QB_Funds Analysis raw'!$B$5:$AC$5, _xlfn.XLOOKUP($A98,'QB_Funds Analysis raw'!$A$6:$A$104,'QB_Funds Analysis raw'!$B$6:$AC$104))))</f>
        <v>0</v>
      </c>
      <c r="AA98" s="142" cm="1">
        <f t="array" ref="AA98">IF(ISERROR(_xlfn.XLOOKUP(AA$5,'QB_Funds Analysis raw'!$B$5:$AC$5, _xlfn.XLOOKUP($A98,'QB_Funds Analysis raw'!$A$6:$A$104,'QB_Funds Analysis raw'!$B$6:$AC$104))),0,(_xlfn.XLOOKUP(AA$5,'QB_Funds Analysis raw'!$B$5:$AC$5, _xlfn.XLOOKUP($A98,'QB_Funds Analysis raw'!$A$6:$A$104,'QB_Funds Analysis raw'!$B$6:$AC$104))))</f>
        <v>0</v>
      </c>
      <c r="AB98" s="142" cm="1">
        <f t="array" ref="AB98">IF(ISERROR(_xlfn.XLOOKUP(AB$5,'QB_Funds Analysis raw'!$B$5:$AC$5, _xlfn.XLOOKUP($A98,'QB_Funds Analysis raw'!$A$6:$A$104,'QB_Funds Analysis raw'!$B$6:$AC$104))),0,(_xlfn.XLOOKUP(AB$5,'QB_Funds Analysis raw'!$B$5:$AC$5, _xlfn.XLOOKUP($A98,'QB_Funds Analysis raw'!$A$6:$A$104,'QB_Funds Analysis raw'!$B$6:$AC$104))))</f>
        <v>0</v>
      </c>
      <c r="AC98" s="142" cm="1">
        <f t="array" ref="AC98">IF(ISERROR(_xlfn.XLOOKUP(AC$5,'QB_Funds Analysis raw'!$B$5:$AC$5, _xlfn.XLOOKUP($A98,'QB_Funds Analysis raw'!$A$6:$A$104,'QB_Funds Analysis raw'!$B$6:$AC$104))),0,(_xlfn.XLOOKUP(AC$5,'QB_Funds Analysis raw'!$B$5:$AC$5, _xlfn.XLOOKUP($A98,'QB_Funds Analysis raw'!$A$6:$A$104,'QB_Funds Analysis raw'!$B$6:$AC$104))))</f>
        <v>212.65</v>
      </c>
      <c r="AD98" s="167">
        <f t="shared" si="13"/>
        <v>212.65</v>
      </c>
      <c r="AE98" s="167">
        <f t="shared" si="22"/>
        <v>0</v>
      </c>
    </row>
    <row r="99" spans="1:31" ht="23.25" x14ac:dyDescent="0.25">
      <c r="A99" s="2" t="s">
        <v>470</v>
      </c>
      <c r="B99" s="142" cm="1">
        <f t="array" ref="B99">IF(ISERROR(_xlfn.XLOOKUP(B$5,'QB_Funds Analysis raw'!$B$5:$AC$5, _xlfn.XLOOKUP($A99,'QB_Funds Analysis raw'!$A$6:$A$104,'QB_Funds Analysis raw'!$B$6:$AC$104))),0,(_xlfn.XLOOKUP(B$5,'QB_Funds Analysis raw'!$B$5:$AC$5, _xlfn.XLOOKUP($A99,'QB_Funds Analysis raw'!$A$6:$A$104,'QB_Funds Analysis raw'!$B$6:$AC$104))))</f>
        <v>0</v>
      </c>
      <c r="C99" s="142" cm="1">
        <f t="array" ref="C99">IF(ISERROR(_xlfn.XLOOKUP(C$5,'QB_Funds Analysis raw'!$B$5:$AC$5, _xlfn.XLOOKUP($A99,'QB_Funds Analysis raw'!$A$6:$A$104,'QB_Funds Analysis raw'!$B$6:$AC$104))),0,(_xlfn.XLOOKUP(C$5,'QB_Funds Analysis raw'!$B$5:$AC$5, _xlfn.XLOOKUP($A99,'QB_Funds Analysis raw'!$A$6:$A$104,'QB_Funds Analysis raw'!$B$6:$AC$104))))</f>
        <v>0</v>
      </c>
      <c r="D99" s="252" cm="1">
        <f t="array" ref="D99">IF(ISERROR(_xlfn.XLOOKUP(D$5,'QB_Funds Analysis raw'!$B$5:$AC$5, _xlfn.XLOOKUP($A99,'QB_Funds Analysis raw'!$A$6:$A$104,'QB_Funds Analysis raw'!$B$6:$AC$104))),0,(_xlfn.XLOOKUP(D$5,'QB_Funds Analysis raw'!$B$5:$AC$5, _xlfn.XLOOKUP($A99,'QB_Funds Analysis raw'!$A$6:$A$104,'QB_Funds Analysis raw'!$B$6:$AC$104))))</f>
        <v>0</v>
      </c>
      <c r="E99" s="142" cm="1">
        <f t="array" ref="E99">IF(ISERROR(_xlfn.XLOOKUP(E$5,'QB_Funds Analysis raw'!$B$5:$AC$5, _xlfn.XLOOKUP($A99,'QB_Funds Analysis raw'!$A$6:$A$104,'QB_Funds Analysis raw'!$B$6:$AC$104))),0,(_xlfn.XLOOKUP(E$5,'QB_Funds Analysis raw'!$B$5:$AC$5, _xlfn.XLOOKUP($A99,'QB_Funds Analysis raw'!$A$6:$A$104,'QB_Funds Analysis raw'!$B$6:$AC$104))))</f>
        <v>0</v>
      </c>
      <c r="F99" s="142" cm="1">
        <f t="array" ref="F99">IF(ISERROR(_xlfn.XLOOKUP(F$5,'QB_Funds Analysis raw'!$B$5:$AC$5, _xlfn.XLOOKUP($A99,'QB_Funds Analysis raw'!$A$6:$A$104,'QB_Funds Analysis raw'!$B$6:$AC$104))),0,(_xlfn.XLOOKUP(F$5,'QB_Funds Analysis raw'!$B$5:$AC$5, _xlfn.XLOOKUP($A99,'QB_Funds Analysis raw'!$A$6:$A$104,'QB_Funds Analysis raw'!$B$6:$AC$104))))</f>
        <v>0</v>
      </c>
      <c r="G99" s="142" cm="1">
        <f t="array" ref="G99">IF(ISERROR(_xlfn.XLOOKUP(G$5,'QB_Funds Analysis raw'!$B$5:$AC$5, _xlfn.XLOOKUP($A99,'QB_Funds Analysis raw'!$A$6:$A$104,'QB_Funds Analysis raw'!$B$6:$AC$104))),0,(_xlfn.XLOOKUP(G$5,'QB_Funds Analysis raw'!$B$5:$AC$5, _xlfn.XLOOKUP($A99,'QB_Funds Analysis raw'!$A$6:$A$104,'QB_Funds Analysis raw'!$B$6:$AC$104))))</f>
        <v>0</v>
      </c>
      <c r="H99" s="142" cm="1">
        <f t="array" ref="H99">IF(ISERROR(_xlfn.XLOOKUP(H$5,'QB_Funds Analysis raw'!$B$5:$AC$5, _xlfn.XLOOKUP($A99,'QB_Funds Analysis raw'!$A$6:$A$104,'QB_Funds Analysis raw'!$B$6:$AC$104))),0,(_xlfn.XLOOKUP(H$5,'QB_Funds Analysis raw'!$B$5:$AC$5, _xlfn.XLOOKUP($A99,'QB_Funds Analysis raw'!$A$6:$A$104,'QB_Funds Analysis raw'!$B$6:$AC$104))))</f>
        <v>0</v>
      </c>
      <c r="I99" s="142" cm="1">
        <f t="array" ref="I99">IF(ISERROR(_xlfn.XLOOKUP(I$5,'QB_Funds Analysis raw'!$B$5:$AC$5, _xlfn.XLOOKUP($A99,'QB_Funds Analysis raw'!$A$6:$A$104,'QB_Funds Analysis raw'!$B$6:$AC$104))),0,(_xlfn.XLOOKUP(I$5,'QB_Funds Analysis raw'!$B$5:$AC$5, _xlfn.XLOOKUP($A99,'QB_Funds Analysis raw'!$A$6:$A$104,'QB_Funds Analysis raw'!$B$6:$AC$104))))</f>
        <v>0</v>
      </c>
      <c r="J99" s="142" cm="1">
        <f t="array" ref="J99">IF(ISERROR(_xlfn.XLOOKUP(J$5,'QB_Funds Analysis raw'!$B$5:$AC$5, _xlfn.XLOOKUP($A99,'QB_Funds Analysis raw'!$A$6:$A$104,'QB_Funds Analysis raw'!$B$6:$AC$104))),0,(_xlfn.XLOOKUP(J$5,'QB_Funds Analysis raw'!$B$5:$AC$5, _xlfn.XLOOKUP($A99,'QB_Funds Analysis raw'!$A$6:$A$104,'QB_Funds Analysis raw'!$B$6:$AC$104))))</f>
        <v>0</v>
      </c>
      <c r="K99" s="252" cm="1">
        <f t="array" ref="K99">IF(ISERROR(_xlfn.XLOOKUP(K$5,'QB_Funds Analysis raw'!$B$5:$AC$5, _xlfn.XLOOKUP($A99,'QB_Funds Analysis raw'!$A$6:$A$104,'QB_Funds Analysis raw'!$B$6:$AC$104))),0,(_xlfn.XLOOKUP(K$5,'QB_Funds Analysis raw'!$B$5:$AC$5, _xlfn.XLOOKUP($A99,'QB_Funds Analysis raw'!$A$6:$A$104,'QB_Funds Analysis raw'!$B$6:$AC$104))))</f>
        <v>0</v>
      </c>
      <c r="L99" s="142" cm="1">
        <f t="array" ref="L99">IF(ISERROR(_xlfn.XLOOKUP(L$5,'QB_Funds Analysis raw'!$B$5:$AC$5, _xlfn.XLOOKUP($A99,'QB_Funds Analysis raw'!$A$6:$A$104,'QB_Funds Analysis raw'!$B$6:$AC$104))),0,(_xlfn.XLOOKUP(L$5,'QB_Funds Analysis raw'!$B$5:$AC$5, _xlfn.XLOOKUP($A99,'QB_Funds Analysis raw'!$A$6:$A$104,'QB_Funds Analysis raw'!$B$6:$AC$104))))</f>
        <v>43.52</v>
      </c>
      <c r="M99" s="142" cm="1">
        <f t="array" ref="M99">IF(ISERROR(_xlfn.XLOOKUP(M$5,'QB_Funds Analysis raw'!$B$5:$AC$5, _xlfn.XLOOKUP($A99,'QB_Funds Analysis raw'!$A$6:$A$104,'QB_Funds Analysis raw'!$B$6:$AC$104))),0,(_xlfn.XLOOKUP(M$5,'QB_Funds Analysis raw'!$B$5:$AC$5, _xlfn.XLOOKUP($A99,'QB_Funds Analysis raw'!$A$6:$A$104,'QB_Funds Analysis raw'!$B$6:$AC$104))))</f>
        <v>0</v>
      </c>
      <c r="N99" s="252" cm="1">
        <f t="array" ref="N99">IF(ISERROR(_xlfn.XLOOKUP(N$5,'QB_Funds Analysis raw'!$B$5:$AC$5, _xlfn.XLOOKUP($A99,'QB_Funds Analysis raw'!$A$6:$A$104,'QB_Funds Analysis raw'!$B$6:$AC$104))),0,(_xlfn.XLOOKUP(N$5,'QB_Funds Analysis raw'!$B$5:$AC$5, _xlfn.XLOOKUP($A99,'QB_Funds Analysis raw'!$A$6:$A$104,'QB_Funds Analysis raw'!$B$6:$AC$104))))</f>
        <v>0</v>
      </c>
      <c r="O99" s="252" cm="1">
        <f t="array" ref="O99">IF(ISERROR(_xlfn.XLOOKUP(O$5,'QB_Funds Analysis raw'!$B$5:$AC$5, _xlfn.XLOOKUP($A99,'QB_Funds Analysis raw'!$A$6:$A$104,'QB_Funds Analysis raw'!$B$6:$AC$104))),0,(_xlfn.XLOOKUP(O$5,'QB_Funds Analysis raw'!$B$5:$AC$5, _xlfn.XLOOKUP($A99,'QB_Funds Analysis raw'!$A$6:$A$104,'QB_Funds Analysis raw'!$B$6:$AC$104))))</f>
        <v>2632.02</v>
      </c>
      <c r="P99" s="142" cm="1">
        <f t="array" ref="P99">IF(ISERROR(_xlfn.XLOOKUP(P$5,'QB_Funds Analysis raw'!$B$5:$AC$5, _xlfn.XLOOKUP($A99,'QB_Funds Analysis raw'!$A$6:$A$104,'QB_Funds Analysis raw'!$B$6:$AC$104))),0,(_xlfn.XLOOKUP(P$5,'QB_Funds Analysis raw'!$B$5:$AC$5, _xlfn.XLOOKUP($A99,'QB_Funds Analysis raw'!$A$6:$A$104,'QB_Funds Analysis raw'!$B$6:$AC$104))))</f>
        <v>0</v>
      </c>
      <c r="Q99" s="247" cm="1">
        <f t="array" ref="Q99">IF(ISERROR(_xlfn.XLOOKUP(Q$5,'QB_Funds Analysis raw'!$B$5:$AC$5, _xlfn.XLOOKUP($A99,'QB_Funds Analysis raw'!$A$6:$A$104,'QB_Funds Analysis raw'!$B$6:$AC$104))),0,(_xlfn.XLOOKUP(Q$5,'QB_Funds Analysis raw'!$B$5:$AC$5, _xlfn.XLOOKUP($A99,'QB_Funds Analysis raw'!$A$6:$A$104,'QB_Funds Analysis raw'!$B$6:$AC$104))))</f>
        <v>2675.54</v>
      </c>
      <c r="R99" s="142" cm="1">
        <f t="array" ref="R99">IF(ISERROR(_xlfn.XLOOKUP(R$5,'QB_Funds Analysis raw'!$B$5:$AC$5, _xlfn.XLOOKUP($A99,'QB_Funds Analysis raw'!$A$6:$A$104,'QB_Funds Analysis raw'!$B$6:$AC$104))),0,(_xlfn.XLOOKUP(R$5,'QB_Funds Analysis raw'!$B$5:$AC$5, _xlfn.XLOOKUP($A99,'QB_Funds Analysis raw'!$A$6:$A$104,'QB_Funds Analysis raw'!$B$6:$AC$104))))</f>
        <v>0</v>
      </c>
      <c r="S99" s="142" cm="1">
        <f t="array" ref="S99">IF(ISERROR(_xlfn.XLOOKUP(S$5,'QB_Funds Analysis raw'!$B$5:$AC$5, _xlfn.XLOOKUP($A99,'QB_Funds Analysis raw'!$A$6:$A$104,'QB_Funds Analysis raw'!$B$6:$AC$104))),0,(_xlfn.XLOOKUP(S$5,'QB_Funds Analysis raw'!$B$5:$AC$5, _xlfn.XLOOKUP($A99,'QB_Funds Analysis raw'!$A$6:$A$104,'QB_Funds Analysis raw'!$B$6:$AC$104))))</f>
        <v>0</v>
      </c>
      <c r="T99" s="142" cm="1">
        <f t="array" ref="T99">IF(ISERROR(_xlfn.XLOOKUP(T$5,'QB_Funds Analysis raw'!$B$5:$AC$5, _xlfn.XLOOKUP($A99,'QB_Funds Analysis raw'!$A$6:$A$104,'QB_Funds Analysis raw'!$B$6:$AC$104))),0,(_xlfn.XLOOKUP(T$5,'QB_Funds Analysis raw'!$B$5:$AC$5, _xlfn.XLOOKUP($A99,'QB_Funds Analysis raw'!$A$6:$A$104,'QB_Funds Analysis raw'!$B$6:$AC$104))))</f>
        <v>0</v>
      </c>
      <c r="U99" s="142" cm="1">
        <f t="array" ref="U99">IF(ISERROR(_xlfn.XLOOKUP(U$5,'QB_Funds Analysis raw'!$B$5:$AC$5, _xlfn.XLOOKUP($A99,'QB_Funds Analysis raw'!$A$6:$A$104,'QB_Funds Analysis raw'!$B$6:$AC$104))),0,(_xlfn.XLOOKUP(U$5,'QB_Funds Analysis raw'!$B$5:$AC$5, _xlfn.XLOOKUP($A99,'QB_Funds Analysis raw'!$A$6:$A$104,'QB_Funds Analysis raw'!$B$6:$AC$104))))</f>
        <v>0</v>
      </c>
      <c r="V99" s="142" cm="1">
        <f t="array" ref="V99">IF(ISERROR(_xlfn.XLOOKUP(V$5,'QB_Funds Analysis raw'!$B$5:$AC$5, _xlfn.XLOOKUP($A99,'QB_Funds Analysis raw'!$A$6:$A$104,'QB_Funds Analysis raw'!$B$6:$AC$104))),0,(_xlfn.XLOOKUP(V$5,'QB_Funds Analysis raw'!$B$5:$AC$5, _xlfn.XLOOKUP($A99,'QB_Funds Analysis raw'!$A$6:$A$104,'QB_Funds Analysis raw'!$B$6:$AC$104))))</f>
        <v>0</v>
      </c>
      <c r="W99" s="142" cm="1">
        <f t="array" ref="W99">IF(ISERROR(_xlfn.XLOOKUP(W$5,'QB_Funds Analysis raw'!$B$5:$AC$5, _xlfn.XLOOKUP($A99,'QB_Funds Analysis raw'!$A$6:$A$104,'QB_Funds Analysis raw'!$B$6:$AC$104))),0,(_xlfn.XLOOKUP(W$5,'QB_Funds Analysis raw'!$B$5:$AC$5, _xlfn.XLOOKUP($A99,'QB_Funds Analysis raw'!$A$6:$A$104,'QB_Funds Analysis raw'!$B$6:$AC$104))))</f>
        <v>43.52</v>
      </c>
      <c r="X99" s="142" cm="1">
        <f t="array" ref="X99">IF(ISERROR(_xlfn.XLOOKUP(X$5,'QB_Funds Analysis raw'!$B$5:$AC$5, _xlfn.XLOOKUP($A99,'QB_Funds Analysis raw'!$A$6:$A$104,'QB_Funds Analysis raw'!$B$6:$AC$104))),0,(_xlfn.XLOOKUP(X$5,'QB_Funds Analysis raw'!$B$5:$AC$5, _xlfn.XLOOKUP($A99,'QB_Funds Analysis raw'!$A$6:$A$104,'QB_Funds Analysis raw'!$B$6:$AC$104))))</f>
        <v>0</v>
      </c>
      <c r="Y99" s="142" cm="1">
        <f t="array" ref="Y99">IF(ISERROR(_xlfn.XLOOKUP(Y$5,'QB_Funds Analysis raw'!$B$5:$AC$5, _xlfn.XLOOKUP($A99,'QB_Funds Analysis raw'!$A$6:$A$104,'QB_Funds Analysis raw'!$B$6:$AC$104))),0,(_xlfn.XLOOKUP(Y$5,'QB_Funds Analysis raw'!$B$5:$AC$5, _xlfn.XLOOKUP($A99,'QB_Funds Analysis raw'!$A$6:$A$104,'QB_Funds Analysis raw'!$B$6:$AC$104))))</f>
        <v>0</v>
      </c>
      <c r="Z99" s="142" cm="1">
        <f t="array" ref="Z99">IF(ISERROR(_xlfn.XLOOKUP(Z$5,'QB_Funds Analysis raw'!$B$5:$AC$5, _xlfn.XLOOKUP($A99,'QB_Funds Analysis raw'!$A$6:$A$104,'QB_Funds Analysis raw'!$B$6:$AC$104))),0,(_xlfn.XLOOKUP(Z$5,'QB_Funds Analysis raw'!$B$5:$AC$5, _xlfn.XLOOKUP($A99,'QB_Funds Analysis raw'!$A$6:$A$104,'QB_Funds Analysis raw'!$B$6:$AC$104))))</f>
        <v>0</v>
      </c>
      <c r="AA99" s="142" cm="1">
        <f t="array" ref="AA99">IF(ISERROR(_xlfn.XLOOKUP(AA$5,'QB_Funds Analysis raw'!$B$5:$AC$5, _xlfn.XLOOKUP($A99,'QB_Funds Analysis raw'!$A$6:$A$104,'QB_Funds Analysis raw'!$B$6:$AC$104))),0,(_xlfn.XLOOKUP(AA$5,'QB_Funds Analysis raw'!$B$5:$AC$5, _xlfn.XLOOKUP($A99,'QB_Funds Analysis raw'!$A$6:$A$104,'QB_Funds Analysis raw'!$B$6:$AC$104))))</f>
        <v>0</v>
      </c>
      <c r="AB99" s="142" cm="1">
        <f t="array" ref="AB99">IF(ISERROR(_xlfn.XLOOKUP(AB$5,'QB_Funds Analysis raw'!$B$5:$AC$5, _xlfn.XLOOKUP($A99,'QB_Funds Analysis raw'!$A$6:$A$104,'QB_Funds Analysis raw'!$B$6:$AC$104))),0,(_xlfn.XLOOKUP(AB$5,'QB_Funds Analysis raw'!$B$5:$AC$5, _xlfn.XLOOKUP($A99,'QB_Funds Analysis raw'!$A$6:$A$104,'QB_Funds Analysis raw'!$B$6:$AC$104))))</f>
        <v>0</v>
      </c>
      <c r="AC99" s="142" cm="1">
        <f t="array" ref="AC99">IF(ISERROR(_xlfn.XLOOKUP(AC$5,'QB_Funds Analysis raw'!$B$5:$AC$5, _xlfn.XLOOKUP($A99,'QB_Funds Analysis raw'!$A$6:$A$104,'QB_Funds Analysis raw'!$B$6:$AC$104))),0,(_xlfn.XLOOKUP(AC$5,'QB_Funds Analysis raw'!$B$5:$AC$5, _xlfn.XLOOKUP($A99,'QB_Funds Analysis raw'!$A$6:$A$104,'QB_Funds Analysis raw'!$B$6:$AC$104))))</f>
        <v>2675.54</v>
      </c>
      <c r="AD99" s="167">
        <f t="shared" si="13"/>
        <v>2675.54</v>
      </c>
      <c r="AE99" s="167">
        <f t="shared" si="22"/>
        <v>0</v>
      </c>
    </row>
    <row r="100" spans="1:31" ht="20.25" customHeight="1" x14ac:dyDescent="0.25">
      <c r="A100" s="135" t="s">
        <v>94</v>
      </c>
      <c r="B100" s="153">
        <f t="shared" ref="B100" si="28">(((B93)+(B94))+(B96))+(B97)+B98+B99+B95</f>
        <v>0</v>
      </c>
      <c r="C100" s="153">
        <f t="shared" ref="C100:AC100" si="29">(((C93)+(C94))+(C96))+(C97)+C98+C99+C95</f>
        <v>0</v>
      </c>
      <c r="D100" s="253">
        <f t="shared" si="29"/>
        <v>0</v>
      </c>
      <c r="E100" s="153">
        <f t="shared" si="29"/>
        <v>0</v>
      </c>
      <c r="F100" s="153">
        <f t="shared" si="29"/>
        <v>0</v>
      </c>
      <c r="G100" s="153">
        <f t="shared" si="29"/>
        <v>0</v>
      </c>
      <c r="H100" s="153">
        <f t="shared" si="29"/>
        <v>0</v>
      </c>
      <c r="I100" s="153">
        <f t="shared" si="29"/>
        <v>0</v>
      </c>
      <c r="J100" s="153">
        <f t="shared" si="29"/>
        <v>0</v>
      </c>
      <c r="K100" s="253">
        <f t="shared" si="29"/>
        <v>0</v>
      </c>
      <c r="L100" s="153">
        <f t="shared" si="29"/>
        <v>314.31</v>
      </c>
      <c r="M100" s="153">
        <f t="shared" si="29"/>
        <v>0</v>
      </c>
      <c r="N100" s="253">
        <f t="shared" si="29"/>
        <v>212.65</v>
      </c>
      <c r="O100" s="253">
        <f t="shared" si="29"/>
        <v>3832.02</v>
      </c>
      <c r="P100" s="153">
        <f t="shared" si="29"/>
        <v>0</v>
      </c>
      <c r="Q100" s="244">
        <f t="shared" si="29"/>
        <v>4399.07</v>
      </c>
      <c r="R100" s="153">
        <f t="shared" si="29"/>
        <v>0</v>
      </c>
      <c r="S100" s="153">
        <f t="shared" si="29"/>
        <v>0</v>
      </c>
      <c r="T100" s="153">
        <f t="shared" si="29"/>
        <v>0</v>
      </c>
      <c r="U100" s="153">
        <f t="shared" si="29"/>
        <v>0</v>
      </c>
      <c r="V100" s="153">
        <f t="shared" si="29"/>
        <v>0</v>
      </c>
      <c r="W100" s="153">
        <f t="shared" si="29"/>
        <v>4730.74</v>
      </c>
      <c r="X100" s="153">
        <f t="shared" si="29"/>
        <v>0</v>
      </c>
      <c r="Y100" s="153">
        <f t="shared" si="29"/>
        <v>197.05</v>
      </c>
      <c r="Z100" s="153">
        <f t="shared" si="29"/>
        <v>0</v>
      </c>
      <c r="AA100" s="153">
        <f t="shared" si="29"/>
        <v>1637.5</v>
      </c>
      <c r="AB100" s="153">
        <f t="shared" si="29"/>
        <v>2698</v>
      </c>
      <c r="AC100" s="153">
        <f t="shared" si="29"/>
        <v>7097.07</v>
      </c>
      <c r="AD100" s="167">
        <f t="shared" si="13"/>
        <v>7097.07</v>
      </c>
      <c r="AE100" s="167">
        <f t="shared" si="22"/>
        <v>0</v>
      </c>
    </row>
    <row r="101" spans="1:31" ht="20.25" customHeight="1" x14ac:dyDescent="0.25">
      <c r="A101" s="2" t="s">
        <v>471</v>
      </c>
      <c r="B101" s="142" cm="1">
        <f t="array" ref="B101">IF(ISERROR(_xlfn.XLOOKUP(B$5,'QB_Funds Analysis raw'!$B$5:$AC$5, _xlfn.XLOOKUP($A101,'QB_Funds Analysis raw'!$A$6:$A$104,'QB_Funds Analysis raw'!$B$6:$AC$104))),0,(_xlfn.XLOOKUP(B$5,'QB_Funds Analysis raw'!$B$5:$AC$5, _xlfn.XLOOKUP($A101,'QB_Funds Analysis raw'!$A$6:$A$104,'QB_Funds Analysis raw'!$B$6:$AC$104))))</f>
        <v>0</v>
      </c>
      <c r="C101" s="142" cm="1">
        <f t="array" ref="C101">IF(ISERROR(_xlfn.XLOOKUP(C$5,'QB_Funds Analysis raw'!$B$5:$AC$5, _xlfn.XLOOKUP($A101,'QB_Funds Analysis raw'!$A$6:$A$104,'QB_Funds Analysis raw'!$B$6:$AC$104))),0,(_xlfn.XLOOKUP(C$5,'QB_Funds Analysis raw'!$B$5:$AC$5, _xlfn.XLOOKUP($A101,'QB_Funds Analysis raw'!$A$6:$A$104,'QB_Funds Analysis raw'!$B$6:$AC$104))))</f>
        <v>0</v>
      </c>
      <c r="D101" s="252" cm="1">
        <f t="array" ref="D101">IF(ISERROR(_xlfn.XLOOKUP(D$5,'QB_Funds Analysis raw'!$B$5:$AC$5, _xlfn.XLOOKUP($A101,'QB_Funds Analysis raw'!$A$6:$A$104,'QB_Funds Analysis raw'!$B$6:$AC$104))),0,(_xlfn.XLOOKUP(D$5,'QB_Funds Analysis raw'!$B$5:$AC$5, _xlfn.XLOOKUP($A101,'QB_Funds Analysis raw'!$A$6:$A$104,'QB_Funds Analysis raw'!$B$6:$AC$104))))</f>
        <v>0</v>
      </c>
      <c r="E101" s="142" cm="1">
        <f t="array" ref="E101">IF(ISERROR(_xlfn.XLOOKUP(E$5,'QB_Funds Analysis raw'!$B$5:$AC$5, _xlfn.XLOOKUP($A101,'QB_Funds Analysis raw'!$A$6:$A$104,'QB_Funds Analysis raw'!$B$6:$AC$104))),0,(_xlfn.XLOOKUP(E$5,'QB_Funds Analysis raw'!$B$5:$AC$5, _xlfn.XLOOKUP($A101,'QB_Funds Analysis raw'!$A$6:$A$104,'QB_Funds Analysis raw'!$B$6:$AC$104))))</f>
        <v>0</v>
      </c>
      <c r="F101" s="142" cm="1">
        <f t="array" ref="F101">IF(ISERROR(_xlfn.XLOOKUP(F$5,'QB_Funds Analysis raw'!$B$5:$AC$5, _xlfn.XLOOKUP($A101,'QB_Funds Analysis raw'!$A$6:$A$104,'QB_Funds Analysis raw'!$B$6:$AC$104))),0,(_xlfn.XLOOKUP(F$5,'QB_Funds Analysis raw'!$B$5:$AC$5, _xlfn.XLOOKUP($A101,'QB_Funds Analysis raw'!$A$6:$A$104,'QB_Funds Analysis raw'!$B$6:$AC$104))))</f>
        <v>545.46</v>
      </c>
      <c r="G101" s="142" cm="1">
        <f t="array" ref="G101">IF(ISERROR(_xlfn.XLOOKUP(G$5,'QB_Funds Analysis raw'!$B$5:$AC$5, _xlfn.XLOOKUP($A101,'QB_Funds Analysis raw'!$A$6:$A$104,'QB_Funds Analysis raw'!$B$6:$AC$104))),0,(_xlfn.XLOOKUP(G$5,'QB_Funds Analysis raw'!$B$5:$AC$5, _xlfn.XLOOKUP($A101,'QB_Funds Analysis raw'!$A$6:$A$104,'QB_Funds Analysis raw'!$B$6:$AC$104))))</f>
        <v>0</v>
      </c>
      <c r="H101" s="142" cm="1">
        <f t="array" ref="H101">IF(ISERROR(_xlfn.XLOOKUP(H$5,'QB_Funds Analysis raw'!$B$5:$AC$5, _xlfn.XLOOKUP($A101,'QB_Funds Analysis raw'!$A$6:$A$104,'QB_Funds Analysis raw'!$B$6:$AC$104))),0,(_xlfn.XLOOKUP(H$5,'QB_Funds Analysis raw'!$B$5:$AC$5, _xlfn.XLOOKUP($A101,'QB_Funds Analysis raw'!$A$6:$A$104,'QB_Funds Analysis raw'!$B$6:$AC$104))))</f>
        <v>0</v>
      </c>
      <c r="I101" s="142" cm="1">
        <f t="array" ref="I101">IF(ISERROR(_xlfn.XLOOKUP(I$5,'QB_Funds Analysis raw'!$B$5:$AC$5, _xlfn.XLOOKUP($A101,'QB_Funds Analysis raw'!$A$6:$A$104,'QB_Funds Analysis raw'!$B$6:$AC$104))),0,(_xlfn.XLOOKUP(I$5,'QB_Funds Analysis raw'!$B$5:$AC$5, _xlfn.XLOOKUP($A101,'QB_Funds Analysis raw'!$A$6:$A$104,'QB_Funds Analysis raw'!$B$6:$AC$104))))</f>
        <v>0</v>
      </c>
      <c r="J101" s="142" cm="1">
        <f t="array" ref="J101">IF(ISERROR(_xlfn.XLOOKUP(J$5,'QB_Funds Analysis raw'!$B$5:$AC$5, _xlfn.XLOOKUP($A101,'QB_Funds Analysis raw'!$A$6:$A$104,'QB_Funds Analysis raw'!$B$6:$AC$104))),0,(_xlfn.XLOOKUP(J$5,'QB_Funds Analysis raw'!$B$5:$AC$5, _xlfn.XLOOKUP($A101,'QB_Funds Analysis raw'!$A$6:$A$104,'QB_Funds Analysis raw'!$B$6:$AC$104))))</f>
        <v>545.46</v>
      </c>
      <c r="K101" s="252" cm="1">
        <f t="array" ref="K101">IF(ISERROR(_xlfn.XLOOKUP(K$5,'QB_Funds Analysis raw'!$B$5:$AC$5, _xlfn.XLOOKUP($A101,'QB_Funds Analysis raw'!$A$6:$A$104,'QB_Funds Analysis raw'!$B$6:$AC$104))),0,(_xlfn.XLOOKUP(K$5,'QB_Funds Analysis raw'!$B$5:$AC$5, _xlfn.XLOOKUP($A101,'QB_Funds Analysis raw'!$A$6:$A$104,'QB_Funds Analysis raw'!$B$6:$AC$104))))</f>
        <v>0</v>
      </c>
      <c r="L101" s="142" cm="1">
        <f t="array" ref="L101">IF(ISERROR(_xlfn.XLOOKUP(L$5,'QB_Funds Analysis raw'!$B$5:$AC$5, _xlfn.XLOOKUP($A101,'QB_Funds Analysis raw'!$A$6:$A$104,'QB_Funds Analysis raw'!$B$6:$AC$104))),0,(_xlfn.XLOOKUP(L$5,'QB_Funds Analysis raw'!$B$5:$AC$5, _xlfn.XLOOKUP($A101,'QB_Funds Analysis raw'!$A$6:$A$104,'QB_Funds Analysis raw'!$B$6:$AC$104))))</f>
        <v>595.67999999999995</v>
      </c>
      <c r="M101" s="142" cm="1">
        <f t="array" ref="M101">IF(ISERROR(_xlfn.XLOOKUP(M$5,'QB_Funds Analysis raw'!$B$5:$AC$5, _xlfn.XLOOKUP($A101,'QB_Funds Analysis raw'!$A$6:$A$104,'QB_Funds Analysis raw'!$B$6:$AC$104))),0,(_xlfn.XLOOKUP(M$5,'QB_Funds Analysis raw'!$B$5:$AC$5, _xlfn.XLOOKUP($A101,'QB_Funds Analysis raw'!$A$6:$A$104,'QB_Funds Analysis raw'!$B$6:$AC$104))))</f>
        <v>0</v>
      </c>
      <c r="N101" s="252" cm="1">
        <f t="array" ref="N101">IF(ISERROR(_xlfn.XLOOKUP(N$5,'QB_Funds Analysis raw'!$B$5:$AC$5, _xlfn.XLOOKUP($A101,'QB_Funds Analysis raw'!$A$6:$A$104,'QB_Funds Analysis raw'!$B$6:$AC$104))),0,(_xlfn.XLOOKUP(N$5,'QB_Funds Analysis raw'!$B$5:$AC$5, _xlfn.XLOOKUP($A101,'QB_Funds Analysis raw'!$A$6:$A$104,'QB_Funds Analysis raw'!$B$6:$AC$104))))</f>
        <v>0</v>
      </c>
      <c r="O101" s="252" cm="1">
        <f t="array" ref="O101">IF(ISERROR(_xlfn.XLOOKUP(O$5,'QB_Funds Analysis raw'!$B$5:$AC$5, _xlfn.XLOOKUP($A101,'QB_Funds Analysis raw'!$A$6:$A$104,'QB_Funds Analysis raw'!$B$6:$AC$104))),0,(_xlfn.XLOOKUP(O$5,'QB_Funds Analysis raw'!$B$5:$AC$5, _xlfn.XLOOKUP($A101,'QB_Funds Analysis raw'!$A$6:$A$104,'QB_Funds Analysis raw'!$B$6:$AC$104))))</f>
        <v>0</v>
      </c>
      <c r="P101" s="142" cm="1">
        <f t="array" ref="P101">IF(ISERROR(_xlfn.XLOOKUP(P$5,'QB_Funds Analysis raw'!$B$5:$AC$5, _xlfn.XLOOKUP($A101,'QB_Funds Analysis raw'!$A$6:$A$104,'QB_Funds Analysis raw'!$B$6:$AC$104))),0,(_xlfn.XLOOKUP(P$5,'QB_Funds Analysis raw'!$B$5:$AC$5, _xlfn.XLOOKUP($A101,'QB_Funds Analysis raw'!$A$6:$A$104,'QB_Funds Analysis raw'!$B$6:$AC$104))))</f>
        <v>0</v>
      </c>
      <c r="Q101" s="247" cm="1">
        <f t="array" ref="Q101">IF(ISERROR(_xlfn.XLOOKUP(Q$5,'QB_Funds Analysis raw'!$B$5:$AC$5, _xlfn.XLOOKUP($A101,'QB_Funds Analysis raw'!$A$6:$A$104,'QB_Funds Analysis raw'!$B$6:$AC$104))),0,(_xlfn.XLOOKUP(Q$5,'QB_Funds Analysis raw'!$B$5:$AC$5, _xlfn.XLOOKUP($A101,'QB_Funds Analysis raw'!$A$6:$A$104,'QB_Funds Analysis raw'!$B$6:$AC$104))))</f>
        <v>1141.1399999999999</v>
      </c>
      <c r="R101" s="142" cm="1">
        <f t="array" ref="R101">IF(ISERROR(_xlfn.XLOOKUP(R$5,'QB_Funds Analysis raw'!$B$5:$AC$5, _xlfn.XLOOKUP($A101,'QB_Funds Analysis raw'!$A$6:$A$104,'QB_Funds Analysis raw'!$B$6:$AC$104))),0,(_xlfn.XLOOKUP(R$5,'QB_Funds Analysis raw'!$B$5:$AC$5, _xlfn.XLOOKUP($A101,'QB_Funds Analysis raw'!$A$6:$A$104,'QB_Funds Analysis raw'!$B$6:$AC$104))))</f>
        <v>0</v>
      </c>
      <c r="S101" s="142" cm="1">
        <f t="array" ref="S101">IF(ISERROR(_xlfn.XLOOKUP(S$5,'QB_Funds Analysis raw'!$B$5:$AC$5, _xlfn.XLOOKUP($A101,'QB_Funds Analysis raw'!$A$6:$A$104,'QB_Funds Analysis raw'!$B$6:$AC$104))),0,(_xlfn.XLOOKUP(S$5,'QB_Funds Analysis raw'!$B$5:$AC$5, _xlfn.XLOOKUP($A101,'QB_Funds Analysis raw'!$A$6:$A$104,'QB_Funds Analysis raw'!$B$6:$AC$104))))</f>
        <v>0</v>
      </c>
      <c r="T101" s="142" cm="1">
        <f t="array" ref="T101">IF(ISERROR(_xlfn.XLOOKUP(T$5,'QB_Funds Analysis raw'!$B$5:$AC$5, _xlfn.XLOOKUP($A101,'QB_Funds Analysis raw'!$A$6:$A$104,'QB_Funds Analysis raw'!$B$6:$AC$104))),0,(_xlfn.XLOOKUP(T$5,'QB_Funds Analysis raw'!$B$5:$AC$5, _xlfn.XLOOKUP($A101,'QB_Funds Analysis raw'!$A$6:$A$104,'QB_Funds Analysis raw'!$B$6:$AC$104))))</f>
        <v>0</v>
      </c>
      <c r="U101" s="142" cm="1">
        <f t="array" ref="U101">IF(ISERROR(_xlfn.XLOOKUP(U$5,'QB_Funds Analysis raw'!$B$5:$AC$5, _xlfn.XLOOKUP($A101,'QB_Funds Analysis raw'!$A$6:$A$104,'QB_Funds Analysis raw'!$B$6:$AC$104))),0,(_xlfn.XLOOKUP(U$5,'QB_Funds Analysis raw'!$B$5:$AC$5, _xlfn.XLOOKUP($A101,'QB_Funds Analysis raw'!$A$6:$A$104,'QB_Funds Analysis raw'!$B$6:$AC$104))))</f>
        <v>0</v>
      </c>
      <c r="V101" s="142" cm="1">
        <f t="array" ref="V101">IF(ISERROR(_xlfn.XLOOKUP(V$5,'QB_Funds Analysis raw'!$B$5:$AC$5, _xlfn.XLOOKUP($A101,'QB_Funds Analysis raw'!$A$6:$A$104,'QB_Funds Analysis raw'!$B$6:$AC$104))),0,(_xlfn.XLOOKUP(V$5,'QB_Funds Analysis raw'!$B$5:$AC$5, _xlfn.XLOOKUP($A101,'QB_Funds Analysis raw'!$A$6:$A$104,'QB_Funds Analysis raw'!$B$6:$AC$104))))</f>
        <v>0</v>
      </c>
      <c r="W101" s="142" cm="1">
        <f t="array" ref="W101">IF(ISERROR(_xlfn.XLOOKUP(W$5,'QB_Funds Analysis raw'!$B$5:$AC$5, _xlfn.XLOOKUP($A101,'QB_Funds Analysis raw'!$A$6:$A$104,'QB_Funds Analysis raw'!$B$6:$AC$104))),0,(_xlfn.XLOOKUP(W$5,'QB_Funds Analysis raw'!$B$5:$AC$5, _xlfn.XLOOKUP($A101,'QB_Funds Analysis raw'!$A$6:$A$104,'QB_Funds Analysis raw'!$B$6:$AC$104))))</f>
        <v>595.67999999999995</v>
      </c>
      <c r="X101" s="142" cm="1">
        <f t="array" ref="X101">IF(ISERROR(_xlfn.XLOOKUP(X$5,'QB_Funds Analysis raw'!$B$5:$AC$5, _xlfn.XLOOKUP($A101,'QB_Funds Analysis raw'!$A$6:$A$104,'QB_Funds Analysis raw'!$B$6:$AC$104))),0,(_xlfn.XLOOKUP(X$5,'QB_Funds Analysis raw'!$B$5:$AC$5, _xlfn.XLOOKUP($A101,'QB_Funds Analysis raw'!$A$6:$A$104,'QB_Funds Analysis raw'!$B$6:$AC$104))))</f>
        <v>0</v>
      </c>
      <c r="Y101" s="142" cm="1">
        <f t="array" ref="Y101">IF(ISERROR(_xlfn.XLOOKUP(Y$5,'QB_Funds Analysis raw'!$B$5:$AC$5, _xlfn.XLOOKUP($A101,'QB_Funds Analysis raw'!$A$6:$A$104,'QB_Funds Analysis raw'!$B$6:$AC$104))),0,(_xlfn.XLOOKUP(Y$5,'QB_Funds Analysis raw'!$B$5:$AC$5, _xlfn.XLOOKUP($A101,'QB_Funds Analysis raw'!$A$6:$A$104,'QB_Funds Analysis raw'!$B$6:$AC$104))))</f>
        <v>5</v>
      </c>
      <c r="Z101" s="142" cm="1">
        <f t="array" ref="Z101">IF(ISERROR(_xlfn.XLOOKUP(Z$5,'QB_Funds Analysis raw'!$B$5:$AC$5, _xlfn.XLOOKUP($A101,'QB_Funds Analysis raw'!$A$6:$A$104,'QB_Funds Analysis raw'!$B$6:$AC$104))),0,(_xlfn.XLOOKUP(Z$5,'QB_Funds Analysis raw'!$B$5:$AC$5, _xlfn.XLOOKUP($A101,'QB_Funds Analysis raw'!$A$6:$A$104,'QB_Funds Analysis raw'!$B$6:$AC$104))))</f>
        <v>0</v>
      </c>
      <c r="AA101" s="142" cm="1">
        <f t="array" ref="AA101">IF(ISERROR(_xlfn.XLOOKUP(AA$5,'QB_Funds Analysis raw'!$B$5:$AC$5, _xlfn.XLOOKUP($A101,'QB_Funds Analysis raw'!$A$6:$A$104,'QB_Funds Analysis raw'!$B$6:$AC$104))),0,(_xlfn.XLOOKUP(AA$5,'QB_Funds Analysis raw'!$B$5:$AC$5, _xlfn.XLOOKUP($A101,'QB_Funds Analysis raw'!$A$6:$A$104,'QB_Funds Analysis raw'!$B$6:$AC$104))))</f>
        <v>0</v>
      </c>
      <c r="AB101" s="142" cm="1">
        <f t="array" ref="AB101">IF(ISERROR(_xlfn.XLOOKUP(AB$5,'QB_Funds Analysis raw'!$B$5:$AC$5, _xlfn.XLOOKUP($A101,'QB_Funds Analysis raw'!$A$6:$A$104,'QB_Funds Analysis raw'!$B$6:$AC$104))),0,(_xlfn.XLOOKUP(AB$5,'QB_Funds Analysis raw'!$B$5:$AC$5, _xlfn.XLOOKUP($A101,'QB_Funds Analysis raw'!$A$6:$A$104,'QB_Funds Analysis raw'!$B$6:$AC$104))))</f>
        <v>16.100000000000001</v>
      </c>
      <c r="AC101" s="142" cm="1">
        <f t="array" ref="AC101">IF(ISERROR(_xlfn.XLOOKUP(AC$5,'QB_Funds Analysis raw'!$B$5:$AC$5, _xlfn.XLOOKUP($A101,'QB_Funds Analysis raw'!$A$6:$A$104,'QB_Funds Analysis raw'!$B$6:$AC$104))),0,(_xlfn.XLOOKUP(AC$5,'QB_Funds Analysis raw'!$B$5:$AC$5, _xlfn.XLOOKUP($A101,'QB_Funds Analysis raw'!$A$6:$A$104,'QB_Funds Analysis raw'!$B$6:$AC$104))))</f>
        <v>1157.2399999999998</v>
      </c>
      <c r="AD101" s="167">
        <f t="shared" si="13"/>
        <v>1157.2399999999998</v>
      </c>
      <c r="AE101" s="167">
        <f t="shared" si="22"/>
        <v>0</v>
      </c>
    </row>
    <row r="102" spans="1:31" ht="20.25" customHeight="1" x14ac:dyDescent="0.25">
      <c r="A102" s="2" t="s">
        <v>472</v>
      </c>
      <c r="B102" s="142" cm="1">
        <f t="array" ref="B102">IF(ISERROR(_xlfn.XLOOKUP(B$5,'QB_Funds Analysis raw'!$B$5:$AC$5, _xlfn.XLOOKUP($A102,'QB_Funds Analysis raw'!$A$6:$A$104,'QB_Funds Analysis raw'!$B$6:$AC$104))),0,(_xlfn.XLOOKUP(B$5,'QB_Funds Analysis raw'!$B$5:$AC$5, _xlfn.XLOOKUP($A102,'QB_Funds Analysis raw'!$A$6:$A$104,'QB_Funds Analysis raw'!$B$6:$AC$104))))</f>
        <v>0</v>
      </c>
      <c r="C102" s="142" cm="1">
        <f t="array" ref="C102">IF(ISERROR(_xlfn.XLOOKUP(C$5,'QB_Funds Analysis raw'!$B$5:$AC$5, _xlfn.XLOOKUP($A102,'QB_Funds Analysis raw'!$A$6:$A$104,'QB_Funds Analysis raw'!$B$6:$AC$104))),0,(_xlfn.XLOOKUP(C$5,'QB_Funds Analysis raw'!$B$5:$AC$5, _xlfn.XLOOKUP($A102,'QB_Funds Analysis raw'!$A$6:$A$104,'QB_Funds Analysis raw'!$B$6:$AC$104))))</f>
        <v>0</v>
      </c>
      <c r="D102" s="252" cm="1">
        <f t="array" ref="D102">IF(ISERROR(_xlfn.XLOOKUP(D$5,'QB_Funds Analysis raw'!$B$5:$AC$5, _xlfn.XLOOKUP($A102,'QB_Funds Analysis raw'!$A$6:$A$104,'QB_Funds Analysis raw'!$B$6:$AC$104))),0,(_xlfn.XLOOKUP(D$5,'QB_Funds Analysis raw'!$B$5:$AC$5, _xlfn.XLOOKUP($A102,'QB_Funds Analysis raw'!$A$6:$A$104,'QB_Funds Analysis raw'!$B$6:$AC$104))))</f>
        <v>0</v>
      </c>
      <c r="E102" s="142" cm="1">
        <f t="array" ref="E102">IF(ISERROR(_xlfn.XLOOKUP(E$5,'QB_Funds Analysis raw'!$B$5:$AC$5, _xlfn.XLOOKUP($A102,'QB_Funds Analysis raw'!$A$6:$A$104,'QB_Funds Analysis raw'!$B$6:$AC$104))),0,(_xlfn.XLOOKUP(E$5,'QB_Funds Analysis raw'!$B$5:$AC$5, _xlfn.XLOOKUP($A102,'QB_Funds Analysis raw'!$A$6:$A$104,'QB_Funds Analysis raw'!$B$6:$AC$104))))</f>
        <v>0</v>
      </c>
      <c r="F102" s="142" cm="1">
        <f t="array" ref="F102">IF(ISERROR(_xlfn.XLOOKUP(F$5,'QB_Funds Analysis raw'!$B$5:$AC$5, _xlfn.XLOOKUP($A102,'QB_Funds Analysis raw'!$A$6:$A$104,'QB_Funds Analysis raw'!$B$6:$AC$104))),0,(_xlfn.XLOOKUP(F$5,'QB_Funds Analysis raw'!$B$5:$AC$5, _xlfn.XLOOKUP($A102,'QB_Funds Analysis raw'!$A$6:$A$104,'QB_Funds Analysis raw'!$B$6:$AC$104))))</f>
        <v>141.28</v>
      </c>
      <c r="G102" s="142" cm="1">
        <f t="array" ref="G102">IF(ISERROR(_xlfn.XLOOKUP(G$5,'QB_Funds Analysis raw'!$B$5:$AC$5, _xlfn.XLOOKUP($A102,'QB_Funds Analysis raw'!$A$6:$A$104,'QB_Funds Analysis raw'!$B$6:$AC$104))),0,(_xlfn.XLOOKUP(G$5,'QB_Funds Analysis raw'!$B$5:$AC$5, _xlfn.XLOOKUP($A102,'QB_Funds Analysis raw'!$A$6:$A$104,'QB_Funds Analysis raw'!$B$6:$AC$104))))</f>
        <v>0</v>
      </c>
      <c r="H102" s="142" cm="1">
        <f t="array" ref="H102">IF(ISERROR(_xlfn.XLOOKUP(H$5,'QB_Funds Analysis raw'!$B$5:$AC$5, _xlfn.XLOOKUP($A102,'QB_Funds Analysis raw'!$A$6:$A$104,'QB_Funds Analysis raw'!$B$6:$AC$104))),0,(_xlfn.XLOOKUP(H$5,'QB_Funds Analysis raw'!$B$5:$AC$5, _xlfn.XLOOKUP($A102,'QB_Funds Analysis raw'!$A$6:$A$104,'QB_Funds Analysis raw'!$B$6:$AC$104))))</f>
        <v>0</v>
      </c>
      <c r="I102" s="142" cm="1">
        <f t="array" ref="I102">IF(ISERROR(_xlfn.XLOOKUP(I$5,'QB_Funds Analysis raw'!$B$5:$AC$5, _xlfn.XLOOKUP($A102,'QB_Funds Analysis raw'!$A$6:$A$104,'QB_Funds Analysis raw'!$B$6:$AC$104))),0,(_xlfn.XLOOKUP(I$5,'QB_Funds Analysis raw'!$B$5:$AC$5, _xlfn.XLOOKUP($A102,'QB_Funds Analysis raw'!$A$6:$A$104,'QB_Funds Analysis raw'!$B$6:$AC$104))))</f>
        <v>0</v>
      </c>
      <c r="J102" s="142" cm="1">
        <f t="array" ref="J102">IF(ISERROR(_xlfn.XLOOKUP(J$5,'QB_Funds Analysis raw'!$B$5:$AC$5, _xlfn.XLOOKUP($A102,'QB_Funds Analysis raw'!$A$6:$A$104,'QB_Funds Analysis raw'!$B$6:$AC$104))),0,(_xlfn.XLOOKUP(J$5,'QB_Funds Analysis raw'!$B$5:$AC$5, _xlfn.XLOOKUP($A102,'QB_Funds Analysis raw'!$A$6:$A$104,'QB_Funds Analysis raw'!$B$6:$AC$104))))</f>
        <v>141.28</v>
      </c>
      <c r="K102" s="252" cm="1">
        <f t="array" ref="K102">IF(ISERROR(_xlfn.XLOOKUP(K$5,'QB_Funds Analysis raw'!$B$5:$AC$5, _xlfn.XLOOKUP($A102,'QB_Funds Analysis raw'!$A$6:$A$104,'QB_Funds Analysis raw'!$B$6:$AC$104))),0,(_xlfn.XLOOKUP(K$5,'QB_Funds Analysis raw'!$B$5:$AC$5, _xlfn.XLOOKUP($A102,'QB_Funds Analysis raw'!$A$6:$A$104,'QB_Funds Analysis raw'!$B$6:$AC$104))))</f>
        <v>0</v>
      </c>
      <c r="L102" s="142" cm="1">
        <f t="array" ref="L102">IF(ISERROR(_xlfn.XLOOKUP(L$5,'QB_Funds Analysis raw'!$B$5:$AC$5, _xlfn.XLOOKUP($A102,'QB_Funds Analysis raw'!$A$6:$A$104,'QB_Funds Analysis raw'!$B$6:$AC$104))),0,(_xlfn.XLOOKUP(L$5,'QB_Funds Analysis raw'!$B$5:$AC$5, _xlfn.XLOOKUP($A102,'QB_Funds Analysis raw'!$A$6:$A$104,'QB_Funds Analysis raw'!$B$6:$AC$104))))</f>
        <v>56</v>
      </c>
      <c r="M102" s="142" cm="1">
        <f t="array" ref="M102">IF(ISERROR(_xlfn.XLOOKUP(M$5,'QB_Funds Analysis raw'!$B$5:$AC$5, _xlfn.XLOOKUP($A102,'QB_Funds Analysis raw'!$A$6:$A$104,'QB_Funds Analysis raw'!$B$6:$AC$104))),0,(_xlfn.XLOOKUP(M$5,'QB_Funds Analysis raw'!$B$5:$AC$5, _xlfn.XLOOKUP($A102,'QB_Funds Analysis raw'!$A$6:$A$104,'QB_Funds Analysis raw'!$B$6:$AC$104))))</f>
        <v>0</v>
      </c>
      <c r="N102" s="252" cm="1">
        <f t="array" ref="N102">IF(ISERROR(_xlfn.XLOOKUP(N$5,'QB_Funds Analysis raw'!$B$5:$AC$5, _xlfn.XLOOKUP($A102,'QB_Funds Analysis raw'!$A$6:$A$104,'QB_Funds Analysis raw'!$B$6:$AC$104))),0,(_xlfn.XLOOKUP(N$5,'QB_Funds Analysis raw'!$B$5:$AC$5, _xlfn.XLOOKUP($A102,'QB_Funds Analysis raw'!$A$6:$A$104,'QB_Funds Analysis raw'!$B$6:$AC$104))))</f>
        <v>0</v>
      </c>
      <c r="O102" s="252" cm="1">
        <f t="array" ref="O102">IF(ISERROR(_xlfn.XLOOKUP(O$5,'QB_Funds Analysis raw'!$B$5:$AC$5, _xlfn.XLOOKUP($A102,'QB_Funds Analysis raw'!$A$6:$A$104,'QB_Funds Analysis raw'!$B$6:$AC$104))),0,(_xlfn.XLOOKUP(O$5,'QB_Funds Analysis raw'!$B$5:$AC$5, _xlfn.XLOOKUP($A102,'QB_Funds Analysis raw'!$A$6:$A$104,'QB_Funds Analysis raw'!$B$6:$AC$104))))</f>
        <v>126.06</v>
      </c>
      <c r="P102" s="142" cm="1">
        <f t="array" ref="P102">IF(ISERROR(_xlfn.XLOOKUP(P$5,'QB_Funds Analysis raw'!$B$5:$AC$5, _xlfn.XLOOKUP($A102,'QB_Funds Analysis raw'!$A$6:$A$104,'QB_Funds Analysis raw'!$B$6:$AC$104))),0,(_xlfn.XLOOKUP(P$5,'QB_Funds Analysis raw'!$B$5:$AC$5, _xlfn.XLOOKUP($A102,'QB_Funds Analysis raw'!$A$6:$A$104,'QB_Funds Analysis raw'!$B$6:$AC$104))))</f>
        <v>0</v>
      </c>
      <c r="Q102" s="247" cm="1">
        <f t="array" ref="Q102">IF(ISERROR(_xlfn.XLOOKUP(Q$5,'QB_Funds Analysis raw'!$B$5:$AC$5, _xlfn.XLOOKUP($A102,'QB_Funds Analysis raw'!$A$6:$A$104,'QB_Funds Analysis raw'!$B$6:$AC$104))),0,(_xlfn.XLOOKUP(Q$5,'QB_Funds Analysis raw'!$B$5:$AC$5, _xlfn.XLOOKUP($A102,'QB_Funds Analysis raw'!$A$6:$A$104,'QB_Funds Analysis raw'!$B$6:$AC$104))))</f>
        <v>323.34000000000003</v>
      </c>
      <c r="R102" s="142" cm="1">
        <f t="array" ref="R102">IF(ISERROR(_xlfn.XLOOKUP(R$5,'QB_Funds Analysis raw'!$B$5:$AC$5, _xlfn.XLOOKUP($A102,'QB_Funds Analysis raw'!$A$6:$A$104,'QB_Funds Analysis raw'!$B$6:$AC$104))),0,(_xlfn.XLOOKUP(R$5,'QB_Funds Analysis raw'!$B$5:$AC$5, _xlfn.XLOOKUP($A102,'QB_Funds Analysis raw'!$A$6:$A$104,'QB_Funds Analysis raw'!$B$6:$AC$104))))</f>
        <v>0</v>
      </c>
      <c r="S102" s="142" cm="1">
        <f t="array" ref="S102">IF(ISERROR(_xlfn.XLOOKUP(S$5,'QB_Funds Analysis raw'!$B$5:$AC$5, _xlfn.XLOOKUP($A102,'QB_Funds Analysis raw'!$A$6:$A$104,'QB_Funds Analysis raw'!$B$6:$AC$104))),0,(_xlfn.XLOOKUP(S$5,'QB_Funds Analysis raw'!$B$5:$AC$5, _xlfn.XLOOKUP($A102,'QB_Funds Analysis raw'!$A$6:$A$104,'QB_Funds Analysis raw'!$B$6:$AC$104))))</f>
        <v>0</v>
      </c>
      <c r="T102" s="142" cm="1">
        <f t="array" ref="T102">IF(ISERROR(_xlfn.XLOOKUP(T$5,'QB_Funds Analysis raw'!$B$5:$AC$5, _xlfn.XLOOKUP($A102,'QB_Funds Analysis raw'!$A$6:$A$104,'QB_Funds Analysis raw'!$B$6:$AC$104))),0,(_xlfn.XLOOKUP(T$5,'QB_Funds Analysis raw'!$B$5:$AC$5, _xlfn.XLOOKUP($A102,'QB_Funds Analysis raw'!$A$6:$A$104,'QB_Funds Analysis raw'!$B$6:$AC$104))))</f>
        <v>0</v>
      </c>
      <c r="U102" s="142" cm="1">
        <f t="array" ref="U102">IF(ISERROR(_xlfn.XLOOKUP(U$5,'QB_Funds Analysis raw'!$B$5:$AC$5, _xlfn.XLOOKUP($A102,'QB_Funds Analysis raw'!$A$6:$A$104,'QB_Funds Analysis raw'!$B$6:$AC$104))),0,(_xlfn.XLOOKUP(U$5,'QB_Funds Analysis raw'!$B$5:$AC$5, _xlfn.XLOOKUP($A102,'QB_Funds Analysis raw'!$A$6:$A$104,'QB_Funds Analysis raw'!$B$6:$AC$104))))</f>
        <v>0</v>
      </c>
      <c r="V102" s="142" cm="1">
        <f t="array" ref="V102">IF(ISERROR(_xlfn.XLOOKUP(V$5,'QB_Funds Analysis raw'!$B$5:$AC$5, _xlfn.XLOOKUP($A102,'QB_Funds Analysis raw'!$A$6:$A$104,'QB_Funds Analysis raw'!$B$6:$AC$104))),0,(_xlfn.XLOOKUP(V$5,'QB_Funds Analysis raw'!$B$5:$AC$5, _xlfn.XLOOKUP($A102,'QB_Funds Analysis raw'!$A$6:$A$104,'QB_Funds Analysis raw'!$B$6:$AC$104))))</f>
        <v>0</v>
      </c>
      <c r="W102" s="142" cm="1">
        <f t="array" ref="W102">IF(ISERROR(_xlfn.XLOOKUP(W$5,'QB_Funds Analysis raw'!$B$5:$AC$5, _xlfn.XLOOKUP($A102,'QB_Funds Analysis raw'!$A$6:$A$104,'QB_Funds Analysis raw'!$B$6:$AC$104))),0,(_xlfn.XLOOKUP(W$5,'QB_Funds Analysis raw'!$B$5:$AC$5, _xlfn.XLOOKUP($A102,'QB_Funds Analysis raw'!$A$6:$A$104,'QB_Funds Analysis raw'!$B$6:$AC$104))))</f>
        <v>56</v>
      </c>
      <c r="X102" s="142" cm="1">
        <f t="array" ref="X102">IF(ISERROR(_xlfn.XLOOKUP(X$5,'QB_Funds Analysis raw'!$B$5:$AC$5, _xlfn.XLOOKUP($A102,'QB_Funds Analysis raw'!$A$6:$A$104,'QB_Funds Analysis raw'!$B$6:$AC$104))),0,(_xlfn.XLOOKUP(X$5,'QB_Funds Analysis raw'!$B$5:$AC$5, _xlfn.XLOOKUP($A102,'QB_Funds Analysis raw'!$A$6:$A$104,'QB_Funds Analysis raw'!$B$6:$AC$104))))</f>
        <v>0</v>
      </c>
      <c r="Y102" s="142" cm="1">
        <f t="array" ref="Y102">IF(ISERROR(_xlfn.XLOOKUP(Y$5,'QB_Funds Analysis raw'!$B$5:$AC$5, _xlfn.XLOOKUP($A102,'QB_Funds Analysis raw'!$A$6:$A$104,'QB_Funds Analysis raw'!$B$6:$AC$104))),0,(_xlfn.XLOOKUP(Y$5,'QB_Funds Analysis raw'!$B$5:$AC$5, _xlfn.XLOOKUP($A102,'QB_Funds Analysis raw'!$A$6:$A$104,'QB_Funds Analysis raw'!$B$6:$AC$104))))</f>
        <v>210.64</v>
      </c>
      <c r="Z102" s="142" cm="1">
        <f t="array" ref="Z102">IF(ISERROR(_xlfn.XLOOKUP(Z$5,'QB_Funds Analysis raw'!$B$5:$AC$5, _xlfn.XLOOKUP($A102,'QB_Funds Analysis raw'!$A$6:$A$104,'QB_Funds Analysis raw'!$B$6:$AC$104))),0,(_xlfn.XLOOKUP(Z$5,'QB_Funds Analysis raw'!$B$5:$AC$5, _xlfn.XLOOKUP($A102,'QB_Funds Analysis raw'!$A$6:$A$104,'QB_Funds Analysis raw'!$B$6:$AC$104))))</f>
        <v>0</v>
      </c>
      <c r="AA102" s="142" cm="1">
        <f t="array" ref="AA102">IF(ISERROR(_xlfn.XLOOKUP(AA$5,'QB_Funds Analysis raw'!$B$5:$AC$5, _xlfn.XLOOKUP($A102,'QB_Funds Analysis raw'!$A$6:$A$104,'QB_Funds Analysis raw'!$B$6:$AC$104))),0,(_xlfn.XLOOKUP(AA$5,'QB_Funds Analysis raw'!$B$5:$AC$5, _xlfn.XLOOKUP($A102,'QB_Funds Analysis raw'!$A$6:$A$104,'QB_Funds Analysis raw'!$B$6:$AC$104))))</f>
        <v>0</v>
      </c>
      <c r="AB102" s="142" cm="1">
        <f t="array" ref="AB102">IF(ISERROR(_xlfn.XLOOKUP(AB$5,'QB_Funds Analysis raw'!$B$5:$AC$5, _xlfn.XLOOKUP($A102,'QB_Funds Analysis raw'!$A$6:$A$104,'QB_Funds Analysis raw'!$B$6:$AC$104))),0,(_xlfn.XLOOKUP(AB$5,'QB_Funds Analysis raw'!$B$5:$AC$5, _xlfn.XLOOKUP($A102,'QB_Funds Analysis raw'!$A$6:$A$104,'QB_Funds Analysis raw'!$B$6:$AC$104))))</f>
        <v>210.64</v>
      </c>
      <c r="AC102" s="142" cm="1">
        <f t="array" ref="AC102">IF(ISERROR(_xlfn.XLOOKUP(AC$5,'QB_Funds Analysis raw'!$B$5:$AC$5, _xlfn.XLOOKUP($A102,'QB_Funds Analysis raw'!$A$6:$A$104,'QB_Funds Analysis raw'!$B$6:$AC$104))),0,(_xlfn.XLOOKUP(AC$5,'QB_Funds Analysis raw'!$B$5:$AC$5, _xlfn.XLOOKUP($A102,'QB_Funds Analysis raw'!$A$6:$A$104,'QB_Funds Analysis raw'!$B$6:$AC$104))))</f>
        <v>533.98</v>
      </c>
      <c r="AD102" s="167">
        <f t="shared" ref="AD102:AD119" si="30">AB102+Q102</f>
        <v>533.98</v>
      </c>
      <c r="AE102" s="167">
        <f t="shared" si="22"/>
        <v>0</v>
      </c>
    </row>
    <row r="103" spans="1:31" ht="20.25" customHeight="1" x14ac:dyDescent="0.25">
      <c r="A103" s="135" t="s">
        <v>473</v>
      </c>
      <c r="B103" s="153">
        <f>B101+B102</f>
        <v>0</v>
      </c>
      <c r="C103" s="153">
        <f t="shared" ref="C103:AC103" si="31">C101+C102</f>
        <v>0</v>
      </c>
      <c r="D103" s="253">
        <f t="shared" si="31"/>
        <v>0</v>
      </c>
      <c r="E103" s="153">
        <f t="shared" si="31"/>
        <v>0</v>
      </c>
      <c r="F103" s="153">
        <f t="shared" si="31"/>
        <v>686.74</v>
      </c>
      <c r="G103" s="153">
        <f t="shared" si="31"/>
        <v>0</v>
      </c>
      <c r="H103" s="153">
        <f t="shared" si="31"/>
        <v>0</v>
      </c>
      <c r="I103" s="153">
        <f t="shared" si="31"/>
        <v>0</v>
      </c>
      <c r="J103" s="153">
        <f t="shared" si="31"/>
        <v>686.74</v>
      </c>
      <c r="K103" s="253">
        <f t="shared" si="31"/>
        <v>0</v>
      </c>
      <c r="L103" s="153">
        <f t="shared" si="31"/>
        <v>651.67999999999995</v>
      </c>
      <c r="M103" s="153">
        <f t="shared" si="31"/>
        <v>0</v>
      </c>
      <c r="N103" s="253">
        <f t="shared" si="31"/>
        <v>0</v>
      </c>
      <c r="O103" s="253">
        <f t="shared" si="31"/>
        <v>126.06</v>
      </c>
      <c r="P103" s="153">
        <f t="shared" si="31"/>
        <v>0</v>
      </c>
      <c r="Q103" s="244">
        <f t="shared" si="31"/>
        <v>1464.48</v>
      </c>
      <c r="R103" s="153">
        <f t="shared" si="31"/>
        <v>0</v>
      </c>
      <c r="S103" s="153">
        <f t="shared" si="31"/>
        <v>0</v>
      </c>
      <c r="T103" s="153">
        <f t="shared" si="31"/>
        <v>0</v>
      </c>
      <c r="U103" s="153">
        <f t="shared" si="31"/>
        <v>0</v>
      </c>
      <c r="V103" s="153">
        <f t="shared" si="31"/>
        <v>0</v>
      </c>
      <c r="W103" s="153">
        <f t="shared" si="31"/>
        <v>651.67999999999995</v>
      </c>
      <c r="X103" s="153">
        <f t="shared" si="31"/>
        <v>0</v>
      </c>
      <c r="Y103" s="153">
        <f t="shared" si="31"/>
        <v>215.64</v>
      </c>
      <c r="Z103" s="153">
        <f t="shared" si="31"/>
        <v>0</v>
      </c>
      <c r="AA103" s="153">
        <f t="shared" si="31"/>
        <v>0</v>
      </c>
      <c r="AB103" s="153">
        <f t="shared" si="31"/>
        <v>226.73999999999998</v>
      </c>
      <c r="AC103" s="153">
        <f t="shared" si="31"/>
        <v>1691.2199999999998</v>
      </c>
      <c r="AD103" s="167">
        <f t="shared" si="30"/>
        <v>1691.22</v>
      </c>
      <c r="AE103" s="167">
        <f t="shared" si="22"/>
        <v>0</v>
      </c>
    </row>
    <row r="104" spans="1:31" ht="20.25" customHeight="1" x14ac:dyDescent="0.25">
      <c r="A104" s="137" t="s">
        <v>95</v>
      </c>
      <c r="B104" s="150"/>
      <c r="C104" s="150"/>
      <c r="D104" s="252"/>
      <c r="E104" s="150"/>
      <c r="F104" s="150"/>
      <c r="G104" s="150"/>
      <c r="H104" s="150"/>
      <c r="I104" s="150"/>
      <c r="J104" s="150"/>
      <c r="K104" s="252"/>
      <c r="L104" s="150"/>
      <c r="M104" s="150"/>
      <c r="N104" s="252"/>
      <c r="O104" s="252"/>
      <c r="P104" s="150"/>
      <c r="Q104" s="247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67">
        <f t="shared" si="30"/>
        <v>0</v>
      </c>
      <c r="AE104" s="167">
        <f t="shared" si="22"/>
        <v>0</v>
      </c>
    </row>
    <row r="105" spans="1:31" ht="20.25" customHeight="1" x14ac:dyDescent="0.25">
      <c r="A105" s="2" t="s">
        <v>96</v>
      </c>
      <c r="B105" s="142" cm="1">
        <f t="array" ref="B105">IF(ISERROR(_xlfn.XLOOKUP(B$5,'QB_Funds Analysis raw'!$B$5:$AC$5, _xlfn.XLOOKUP($A105,'QB_Funds Analysis raw'!$A$6:$A$104,'QB_Funds Analysis raw'!$B$6:$AC$104))),0,(_xlfn.XLOOKUP(B$5,'QB_Funds Analysis raw'!$B$5:$AC$5, _xlfn.XLOOKUP($A105,'QB_Funds Analysis raw'!$A$6:$A$104,'QB_Funds Analysis raw'!$B$6:$AC$104))))</f>
        <v>0</v>
      </c>
      <c r="C105" s="142" cm="1">
        <f t="array" ref="C105">IF(ISERROR(_xlfn.XLOOKUP(C$5,'QB_Funds Analysis raw'!$B$5:$AC$5, _xlfn.XLOOKUP($A105,'QB_Funds Analysis raw'!$A$6:$A$104,'QB_Funds Analysis raw'!$B$6:$AC$104))),0,(_xlfn.XLOOKUP(C$5,'QB_Funds Analysis raw'!$B$5:$AC$5, _xlfn.XLOOKUP($A105,'QB_Funds Analysis raw'!$A$6:$A$104,'QB_Funds Analysis raw'!$B$6:$AC$104))))</f>
        <v>0</v>
      </c>
      <c r="D105" s="252" cm="1">
        <f t="array" ref="D105">IF(ISERROR(_xlfn.XLOOKUP(D$5,'QB_Funds Analysis raw'!$B$5:$AC$5, _xlfn.XLOOKUP($A105,'QB_Funds Analysis raw'!$A$6:$A$104,'QB_Funds Analysis raw'!$B$6:$AC$104))),0,(_xlfn.XLOOKUP(D$5,'QB_Funds Analysis raw'!$B$5:$AC$5, _xlfn.XLOOKUP($A105,'QB_Funds Analysis raw'!$A$6:$A$104,'QB_Funds Analysis raw'!$B$6:$AC$104))))</f>
        <v>0</v>
      </c>
      <c r="E105" s="142" cm="1">
        <f t="array" ref="E105">IF(ISERROR(_xlfn.XLOOKUP(E$5,'QB_Funds Analysis raw'!$B$5:$AC$5, _xlfn.XLOOKUP($A105,'QB_Funds Analysis raw'!$A$6:$A$104,'QB_Funds Analysis raw'!$B$6:$AC$104))),0,(_xlfn.XLOOKUP(E$5,'QB_Funds Analysis raw'!$B$5:$AC$5, _xlfn.XLOOKUP($A105,'QB_Funds Analysis raw'!$A$6:$A$104,'QB_Funds Analysis raw'!$B$6:$AC$104))))</f>
        <v>0</v>
      </c>
      <c r="F105" s="142" cm="1">
        <f t="array" ref="F105">IF(ISERROR(_xlfn.XLOOKUP(F$5,'QB_Funds Analysis raw'!$B$5:$AC$5, _xlfn.XLOOKUP($A105,'QB_Funds Analysis raw'!$A$6:$A$104,'QB_Funds Analysis raw'!$B$6:$AC$104))),0,(_xlfn.XLOOKUP(F$5,'QB_Funds Analysis raw'!$B$5:$AC$5, _xlfn.XLOOKUP($A105,'QB_Funds Analysis raw'!$A$6:$A$104,'QB_Funds Analysis raw'!$B$6:$AC$104))))</f>
        <v>0</v>
      </c>
      <c r="G105" s="142" cm="1">
        <f t="array" ref="G105">IF(ISERROR(_xlfn.XLOOKUP(G$5,'QB_Funds Analysis raw'!$B$5:$AC$5, _xlfn.XLOOKUP($A105,'QB_Funds Analysis raw'!$A$6:$A$104,'QB_Funds Analysis raw'!$B$6:$AC$104))),0,(_xlfn.XLOOKUP(G$5,'QB_Funds Analysis raw'!$B$5:$AC$5, _xlfn.XLOOKUP($A105,'QB_Funds Analysis raw'!$A$6:$A$104,'QB_Funds Analysis raw'!$B$6:$AC$104))))</f>
        <v>0</v>
      </c>
      <c r="H105" s="142" cm="1">
        <f t="array" ref="H105">IF(ISERROR(_xlfn.XLOOKUP(H$5,'QB_Funds Analysis raw'!$B$5:$AC$5, _xlfn.XLOOKUP($A105,'QB_Funds Analysis raw'!$A$6:$A$104,'QB_Funds Analysis raw'!$B$6:$AC$104))),0,(_xlfn.XLOOKUP(H$5,'QB_Funds Analysis raw'!$B$5:$AC$5, _xlfn.XLOOKUP($A105,'QB_Funds Analysis raw'!$A$6:$A$104,'QB_Funds Analysis raw'!$B$6:$AC$104))))</f>
        <v>0</v>
      </c>
      <c r="I105" s="142" cm="1">
        <f t="array" ref="I105">IF(ISERROR(_xlfn.XLOOKUP(I$5,'QB_Funds Analysis raw'!$B$5:$AC$5, _xlfn.XLOOKUP($A105,'QB_Funds Analysis raw'!$A$6:$A$104,'QB_Funds Analysis raw'!$B$6:$AC$104))),0,(_xlfn.XLOOKUP(I$5,'QB_Funds Analysis raw'!$B$5:$AC$5, _xlfn.XLOOKUP($A105,'QB_Funds Analysis raw'!$A$6:$A$104,'QB_Funds Analysis raw'!$B$6:$AC$104))))</f>
        <v>0</v>
      </c>
      <c r="J105" s="142" cm="1">
        <f t="array" ref="J105">IF(ISERROR(_xlfn.XLOOKUP(J$5,'QB_Funds Analysis raw'!$B$5:$AC$5, _xlfn.XLOOKUP($A105,'QB_Funds Analysis raw'!$A$6:$A$104,'QB_Funds Analysis raw'!$B$6:$AC$104))),0,(_xlfn.XLOOKUP(J$5,'QB_Funds Analysis raw'!$B$5:$AC$5, _xlfn.XLOOKUP($A105,'QB_Funds Analysis raw'!$A$6:$A$104,'QB_Funds Analysis raw'!$B$6:$AC$104))))</f>
        <v>0</v>
      </c>
      <c r="K105" s="252" cm="1">
        <f t="array" ref="K105">IF(ISERROR(_xlfn.XLOOKUP(K$5,'QB_Funds Analysis raw'!$B$5:$AC$5, _xlfn.XLOOKUP($A105,'QB_Funds Analysis raw'!$A$6:$A$104,'QB_Funds Analysis raw'!$B$6:$AC$104))),0,(_xlfn.XLOOKUP(K$5,'QB_Funds Analysis raw'!$B$5:$AC$5, _xlfn.XLOOKUP($A105,'QB_Funds Analysis raw'!$A$6:$A$104,'QB_Funds Analysis raw'!$B$6:$AC$104))))</f>
        <v>0</v>
      </c>
      <c r="L105" s="142" cm="1">
        <f t="array" ref="L105">IF(ISERROR(_xlfn.XLOOKUP(L$5,'QB_Funds Analysis raw'!$B$5:$AC$5, _xlfn.XLOOKUP($A105,'QB_Funds Analysis raw'!$A$6:$A$104,'QB_Funds Analysis raw'!$B$6:$AC$104))),0,(_xlfn.XLOOKUP(L$5,'QB_Funds Analysis raw'!$B$5:$AC$5, _xlfn.XLOOKUP($A105,'QB_Funds Analysis raw'!$A$6:$A$104,'QB_Funds Analysis raw'!$B$6:$AC$104))))</f>
        <v>0</v>
      </c>
      <c r="M105" s="142" cm="1">
        <f t="array" ref="M105">IF(ISERROR(_xlfn.XLOOKUP(M$5,'QB_Funds Analysis raw'!$B$5:$AC$5, _xlfn.XLOOKUP($A105,'QB_Funds Analysis raw'!$A$6:$A$104,'QB_Funds Analysis raw'!$B$6:$AC$104))),0,(_xlfn.XLOOKUP(M$5,'QB_Funds Analysis raw'!$B$5:$AC$5, _xlfn.XLOOKUP($A105,'QB_Funds Analysis raw'!$A$6:$A$104,'QB_Funds Analysis raw'!$B$6:$AC$104))))</f>
        <v>0</v>
      </c>
      <c r="N105" s="252" cm="1">
        <f t="array" ref="N105">IF(ISERROR(_xlfn.XLOOKUP(N$5,'QB_Funds Analysis raw'!$B$5:$AC$5, _xlfn.XLOOKUP($A105,'QB_Funds Analysis raw'!$A$6:$A$104,'QB_Funds Analysis raw'!$B$6:$AC$104))),0,(_xlfn.XLOOKUP(N$5,'QB_Funds Analysis raw'!$B$5:$AC$5, _xlfn.XLOOKUP($A105,'QB_Funds Analysis raw'!$A$6:$A$104,'QB_Funds Analysis raw'!$B$6:$AC$104))))</f>
        <v>0</v>
      </c>
      <c r="O105" s="252" cm="1">
        <f t="array" ref="O105">IF(ISERROR(_xlfn.XLOOKUP(O$5,'QB_Funds Analysis raw'!$B$5:$AC$5, _xlfn.XLOOKUP($A105,'QB_Funds Analysis raw'!$A$6:$A$104,'QB_Funds Analysis raw'!$B$6:$AC$104))),0,(_xlfn.XLOOKUP(O$5,'QB_Funds Analysis raw'!$B$5:$AC$5, _xlfn.XLOOKUP($A105,'QB_Funds Analysis raw'!$A$6:$A$104,'QB_Funds Analysis raw'!$B$6:$AC$104))))</f>
        <v>0</v>
      </c>
      <c r="P105" s="142" cm="1">
        <f t="array" ref="P105">IF(ISERROR(_xlfn.XLOOKUP(P$5,'QB_Funds Analysis raw'!$B$5:$AC$5, _xlfn.XLOOKUP($A105,'QB_Funds Analysis raw'!$A$6:$A$104,'QB_Funds Analysis raw'!$B$6:$AC$104))),0,(_xlfn.XLOOKUP(P$5,'QB_Funds Analysis raw'!$B$5:$AC$5, _xlfn.XLOOKUP($A105,'QB_Funds Analysis raw'!$A$6:$A$104,'QB_Funds Analysis raw'!$B$6:$AC$104))))</f>
        <v>0</v>
      </c>
      <c r="Q105" s="247" cm="1">
        <f t="array" ref="Q105">IF(ISERROR(_xlfn.XLOOKUP(Q$5,'QB_Funds Analysis raw'!$B$5:$AC$5, _xlfn.XLOOKUP($A105,'QB_Funds Analysis raw'!$A$6:$A$104,'QB_Funds Analysis raw'!$B$6:$AC$104))),0,(_xlfn.XLOOKUP(Q$5,'QB_Funds Analysis raw'!$B$5:$AC$5, _xlfn.XLOOKUP($A105,'QB_Funds Analysis raw'!$A$6:$A$104,'QB_Funds Analysis raw'!$B$6:$AC$104))))</f>
        <v>0</v>
      </c>
      <c r="R105" s="142" cm="1">
        <f t="array" ref="R105">IF(ISERROR(_xlfn.XLOOKUP(R$5,'QB_Funds Analysis raw'!$B$5:$AC$5, _xlfn.XLOOKUP($A105,'QB_Funds Analysis raw'!$A$6:$A$104,'QB_Funds Analysis raw'!$B$6:$AC$104))),0,(_xlfn.XLOOKUP(R$5,'QB_Funds Analysis raw'!$B$5:$AC$5, _xlfn.XLOOKUP($A105,'QB_Funds Analysis raw'!$A$6:$A$104,'QB_Funds Analysis raw'!$B$6:$AC$104))))</f>
        <v>0</v>
      </c>
      <c r="S105" s="142" cm="1">
        <f t="array" ref="S105">IF(ISERROR(_xlfn.XLOOKUP(S$5,'QB_Funds Analysis raw'!$B$5:$AC$5, _xlfn.XLOOKUP($A105,'QB_Funds Analysis raw'!$A$6:$A$104,'QB_Funds Analysis raw'!$B$6:$AC$104))),0,(_xlfn.XLOOKUP(S$5,'QB_Funds Analysis raw'!$B$5:$AC$5, _xlfn.XLOOKUP($A105,'QB_Funds Analysis raw'!$A$6:$A$104,'QB_Funds Analysis raw'!$B$6:$AC$104))))</f>
        <v>0</v>
      </c>
      <c r="T105" s="142" cm="1">
        <f t="array" ref="T105">IF(ISERROR(_xlfn.XLOOKUP(T$5,'QB_Funds Analysis raw'!$B$5:$AC$5, _xlfn.XLOOKUP($A105,'QB_Funds Analysis raw'!$A$6:$A$104,'QB_Funds Analysis raw'!$B$6:$AC$104))),0,(_xlfn.XLOOKUP(T$5,'QB_Funds Analysis raw'!$B$5:$AC$5, _xlfn.XLOOKUP($A105,'QB_Funds Analysis raw'!$A$6:$A$104,'QB_Funds Analysis raw'!$B$6:$AC$104))))</f>
        <v>0</v>
      </c>
      <c r="U105" s="142" cm="1">
        <f t="array" ref="U105">IF(ISERROR(_xlfn.XLOOKUP(U$5,'QB_Funds Analysis raw'!$B$5:$AC$5, _xlfn.XLOOKUP($A105,'QB_Funds Analysis raw'!$A$6:$A$104,'QB_Funds Analysis raw'!$B$6:$AC$104))),0,(_xlfn.XLOOKUP(U$5,'QB_Funds Analysis raw'!$B$5:$AC$5, _xlfn.XLOOKUP($A105,'QB_Funds Analysis raw'!$A$6:$A$104,'QB_Funds Analysis raw'!$B$6:$AC$104))))</f>
        <v>0</v>
      </c>
      <c r="V105" s="142" cm="1">
        <f t="array" ref="V105">IF(ISERROR(_xlfn.XLOOKUP(V$5,'QB_Funds Analysis raw'!$B$5:$AC$5, _xlfn.XLOOKUP($A105,'QB_Funds Analysis raw'!$A$6:$A$104,'QB_Funds Analysis raw'!$B$6:$AC$104))),0,(_xlfn.XLOOKUP(V$5,'QB_Funds Analysis raw'!$B$5:$AC$5, _xlfn.XLOOKUP($A105,'QB_Funds Analysis raw'!$A$6:$A$104,'QB_Funds Analysis raw'!$B$6:$AC$104))))</f>
        <v>0</v>
      </c>
      <c r="W105" s="142" cm="1">
        <f t="array" ref="W105">IF(ISERROR(_xlfn.XLOOKUP(W$5,'QB_Funds Analysis raw'!$B$5:$AC$5, _xlfn.XLOOKUP($A105,'QB_Funds Analysis raw'!$A$6:$A$104,'QB_Funds Analysis raw'!$B$6:$AC$104))),0,(_xlfn.XLOOKUP(W$5,'QB_Funds Analysis raw'!$B$5:$AC$5, _xlfn.XLOOKUP($A105,'QB_Funds Analysis raw'!$A$6:$A$104,'QB_Funds Analysis raw'!$B$6:$AC$104))))</f>
        <v>0</v>
      </c>
      <c r="X105" s="142" cm="1">
        <f t="array" ref="X105">IF(ISERROR(_xlfn.XLOOKUP(X$5,'QB_Funds Analysis raw'!$B$5:$AC$5, _xlfn.XLOOKUP($A105,'QB_Funds Analysis raw'!$A$6:$A$104,'QB_Funds Analysis raw'!$B$6:$AC$104))),0,(_xlfn.XLOOKUP(X$5,'QB_Funds Analysis raw'!$B$5:$AC$5, _xlfn.XLOOKUP($A105,'QB_Funds Analysis raw'!$A$6:$A$104,'QB_Funds Analysis raw'!$B$6:$AC$104))))</f>
        <v>0</v>
      </c>
      <c r="Y105" s="142" cm="1">
        <f t="array" ref="Y105">IF(ISERROR(_xlfn.XLOOKUP(Y$5,'QB_Funds Analysis raw'!$B$5:$AC$5, _xlfn.XLOOKUP($A105,'QB_Funds Analysis raw'!$A$6:$A$104,'QB_Funds Analysis raw'!$B$6:$AC$104))),0,(_xlfn.XLOOKUP(Y$5,'QB_Funds Analysis raw'!$B$5:$AC$5, _xlfn.XLOOKUP($A105,'QB_Funds Analysis raw'!$A$6:$A$104,'QB_Funds Analysis raw'!$B$6:$AC$104))))</f>
        <v>0</v>
      </c>
      <c r="Z105" s="142" cm="1">
        <f t="array" ref="Z105">IF(ISERROR(_xlfn.XLOOKUP(Z$5,'QB_Funds Analysis raw'!$B$5:$AC$5, _xlfn.XLOOKUP($A105,'QB_Funds Analysis raw'!$A$6:$A$104,'QB_Funds Analysis raw'!$B$6:$AC$104))),0,(_xlfn.XLOOKUP(Z$5,'QB_Funds Analysis raw'!$B$5:$AC$5, _xlfn.XLOOKUP($A105,'QB_Funds Analysis raw'!$A$6:$A$104,'QB_Funds Analysis raw'!$B$6:$AC$104))))</f>
        <v>0</v>
      </c>
      <c r="AA105" s="142" cm="1">
        <f t="array" ref="AA105">IF(ISERROR(_xlfn.XLOOKUP(AA$5,'QB_Funds Analysis raw'!$B$5:$AC$5, _xlfn.XLOOKUP($A105,'QB_Funds Analysis raw'!$A$6:$A$104,'QB_Funds Analysis raw'!$B$6:$AC$104))),0,(_xlfn.XLOOKUP(AA$5,'QB_Funds Analysis raw'!$B$5:$AC$5, _xlfn.XLOOKUP($A105,'QB_Funds Analysis raw'!$A$6:$A$104,'QB_Funds Analysis raw'!$B$6:$AC$104))))</f>
        <v>0</v>
      </c>
      <c r="AB105" s="142" cm="1">
        <f t="array" ref="AB105">IF(ISERROR(_xlfn.XLOOKUP(AB$5,'QB_Funds Analysis raw'!$B$5:$AC$5, _xlfn.XLOOKUP($A105,'QB_Funds Analysis raw'!$A$6:$A$104,'QB_Funds Analysis raw'!$B$6:$AC$104))),0,(_xlfn.XLOOKUP(AB$5,'QB_Funds Analysis raw'!$B$5:$AC$5, _xlfn.XLOOKUP($A105,'QB_Funds Analysis raw'!$A$6:$A$104,'QB_Funds Analysis raw'!$B$6:$AC$104))))</f>
        <v>750</v>
      </c>
      <c r="AC105" s="142" cm="1">
        <f t="array" ref="AC105">IF(ISERROR(_xlfn.XLOOKUP(AC$5,'QB_Funds Analysis raw'!$B$5:$AC$5, _xlfn.XLOOKUP($A105,'QB_Funds Analysis raw'!$A$6:$A$104,'QB_Funds Analysis raw'!$B$6:$AC$104))),0,(_xlfn.XLOOKUP(AC$5,'QB_Funds Analysis raw'!$B$5:$AC$5, _xlfn.XLOOKUP($A105,'QB_Funds Analysis raw'!$A$6:$A$104,'QB_Funds Analysis raw'!$B$6:$AC$104))))</f>
        <v>750</v>
      </c>
      <c r="AD105" s="167">
        <f t="shared" si="30"/>
        <v>750</v>
      </c>
      <c r="AE105" s="167">
        <f t="shared" si="22"/>
        <v>0</v>
      </c>
    </row>
    <row r="106" spans="1:31" ht="20.25" customHeight="1" x14ac:dyDescent="0.25">
      <c r="A106" s="135" t="s">
        <v>97</v>
      </c>
      <c r="B106" s="153">
        <f t="shared" ref="B106" si="32">(B104)+(B105)</f>
        <v>0</v>
      </c>
      <c r="C106" s="153">
        <f t="shared" ref="C106:AC106" si="33">(C104)+(C105)</f>
        <v>0</v>
      </c>
      <c r="D106" s="253">
        <f t="shared" si="33"/>
        <v>0</v>
      </c>
      <c r="E106" s="153">
        <f t="shared" si="33"/>
        <v>0</v>
      </c>
      <c r="F106" s="153">
        <f t="shared" si="33"/>
        <v>0</v>
      </c>
      <c r="G106" s="153">
        <f t="shared" si="33"/>
        <v>0</v>
      </c>
      <c r="H106" s="153">
        <f t="shared" si="33"/>
        <v>0</v>
      </c>
      <c r="I106" s="153">
        <f t="shared" si="33"/>
        <v>0</v>
      </c>
      <c r="J106" s="153">
        <f t="shared" si="33"/>
        <v>0</v>
      </c>
      <c r="K106" s="253">
        <f t="shared" si="33"/>
        <v>0</v>
      </c>
      <c r="L106" s="153">
        <f t="shared" si="33"/>
        <v>0</v>
      </c>
      <c r="M106" s="153">
        <f t="shared" si="33"/>
        <v>0</v>
      </c>
      <c r="N106" s="253">
        <f t="shared" si="33"/>
        <v>0</v>
      </c>
      <c r="O106" s="253">
        <f t="shared" si="33"/>
        <v>0</v>
      </c>
      <c r="P106" s="153">
        <f t="shared" si="33"/>
        <v>0</v>
      </c>
      <c r="Q106" s="244">
        <f t="shared" si="33"/>
        <v>0</v>
      </c>
      <c r="R106" s="153">
        <f t="shared" si="33"/>
        <v>0</v>
      </c>
      <c r="S106" s="153">
        <f t="shared" si="33"/>
        <v>0</v>
      </c>
      <c r="T106" s="153">
        <f t="shared" si="33"/>
        <v>0</v>
      </c>
      <c r="U106" s="153">
        <f t="shared" si="33"/>
        <v>0</v>
      </c>
      <c r="V106" s="153">
        <f t="shared" si="33"/>
        <v>0</v>
      </c>
      <c r="W106" s="153">
        <f t="shared" si="33"/>
        <v>0</v>
      </c>
      <c r="X106" s="153">
        <f t="shared" si="33"/>
        <v>0</v>
      </c>
      <c r="Y106" s="153">
        <f t="shared" si="33"/>
        <v>0</v>
      </c>
      <c r="Z106" s="153">
        <f t="shared" si="33"/>
        <v>0</v>
      </c>
      <c r="AA106" s="153">
        <f t="shared" si="33"/>
        <v>0</v>
      </c>
      <c r="AB106" s="153">
        <f t="shared" si="33"/>
        <v>750</v>
      </c>
      <c r="AC106" s="153">
        <f t="shared" si="33"/>
        <v>750</v>
      </c>
      <c r="AD106" s="167">
        <f t="shared" si="30"/>
        <v>750</v>
      </c>
      <c r="AE106" s="167">
        <f t="shared" si="22"/>
        <v>0</v>
      </c>
    </row>
    <row r="107" spans="1:31" ht="20.25" customHeight="1" x14ac:dyDescent="0.25">
      <c r="A107" s="141" t="s">
        <v>98</v>
      </c>
      <c r="B107" s="154">
        <f>((((((B41)+(B48))+(B67))+(B73))+(B92))+(B100))+(B106)+B103</f>
        <v>0</v>
      </c>
      <c r="C107" s="154">
        <f t="shared" ref="C107:AC107" si="34">((((((C41)+(C48))+(C67))+(C73))+(C92))+(C100))+(C106)+C103</f>
        <v>0</v>
      </c>
      <c r="D107" s="253">
        <f t="shared" si="34"/>
        <v>0</v>
      </c>
      <c r="E107" s="154">
        <f t="shared" si="34"/>
        <v>0</v>
      </c>
      <c r="F107" s="154">
        <f t="shared" si="34"/>
        <v>1595.75</v>
      </c>
      <c r="G107" s="154">
        <f t="shared" si="34"/>
        <v>0</v>
      </c>
      <c r="H107" s="154">
        <f t="shared" si="34"/>
        <v>111.91999999999999</v>
      </c>
      <c r="I107" s="154">
        <f t="shared" si="34"/>
        <v>0</v>
      </c>
      <c r="J107" s="154">
        <f t="shared" si="34"/>
        <v>2518.5500000000002</v>
      </c>
      <c r="K107" s="253">
        <f t="shared" si="34"/>
        <v>2219.61</v>
      </c>
      <c r="L107" s="154">
        <f t="shared" si="34"/>
        <v>2529.9899999999998</v>
      </c>
      <c r="M107" s="154">
        <f t="shared" si="34"/>
        <v>0</v>
      </c>
      <c r="N107" s="253">
        <f t="shared" si="34"/>
        <v>497.15</v>
      </c>
      <c r="O107" s="253">
        <f t="shared" si="34"/>
        <v>8061.5800000000008</v>
      </c>
      <c r="P107" s="154">
        <f t="shared" si="34"/>
        <v>0</v>
      </c>
      <c r="Q107" s="244">
        <f t="shared" si="34"/>
        <v>15866.970000000001</v>
      </c>
      <c r="R107" s="154">
        <f t="shared" si="34"/>
        <v>0</v>
      </c>
      <c r="S107" s="154">
        <f t="shared" si="34"/>
        <v>0</v>
      </c>
      <c r="T107" s="154">
        <f t="shared" si="34"/>
        <v>0</v>
      </c>
      <c r="U107" s="154">
        <f t="shared" si="34"/>
        <v>0</v>
      </c>
      <c r="V107" s="154">
        <f t="shared" si="34"/>
        <v>0</v>
      </c>
      <c r="W107" s="154">
        <f t="shared" si="34"/>
        <v>6946.42</v>
      </c>
      <c r="X107" s="154">
        <f t="shared" si="34"/>
        <v>12631.9</v>
      </c>
      <c r="Y107" s="154">
        <f t="shared" si="34"/>
        <v>412.69</v>
      </c>
      <c r="Z107" s="154">
        <f t="shared" si="34"/>
        <v>0</v>
      </c>
      <c r="AA107" s="154">
        <f>((((((AA41)+(AA48))+(AA67))+(AA73))+(AA92))+(AA100))+(AA106)+AA103</f>
        <v>1637.5</v>
      </c>
      <c r="AB107" s="154">
        <f t="shared" si="34"/>
        <v>109219.28</v>
      </c>
      <c r="AC107" s="154">
        <f t="shared" si="34"/>
        <v>125086.25</v>
      </c>
      <c r="AD107" s="167">
        <f t="shared" si="30"/>
        <v>125086.25</v>
      </c>
      <c r="AE107" s="167">
        <f t="shared" si="22"/>
        <v>0</v>
      </c>
    </row>
    <row r="108" spans="1:31" ht="20.25" customHeight="1" x14ac:dyDescent="0.25">
      <c r="A108" s="140" t="s">
        <v>99</v>
      </c>
      <c r="B108" s="155">
        <f>(B31)-(B107)</f>
        <v>0</v>
      </c>
      <c r="C108" s="155">
        <f t="shared" ref="C108:AC108" si="35">(C31)-(C107)</f>
        <v>0</v>
      </c>
      <c r="D108" s="253">
        <f t="shared" si="35"/>
        <v>0</v>
      </c>
      <c r="E108" s="155">
        <f t="shared" si="35"/>
        <v>0</v>
      </c>
      <c r="F108" s="155">
        <f t="shared" si="35"/>
        <v>1971.06</v>
      </c>
      <c r="G108" s="155">
        <f t="shared" si="35"/>
        <v>0</v>
      </c>
      <c r="H108" s="155">
        <f t="shared" si="35"/>
        <v>542.53000000000009</v>
      </c>
      <c r="I108" s="155">
        <f t="shared" si="35"/>
        <v>0</v>
      </c>
      <c r="J108" s="155">
        <f t="shared" si="35"/>
        <v>1467.4499999999998</v>
      </c>
      <c r="K108" s="253">
        <f t="shared" si="35"/>
        <v>-106.80999999999995</v>
      </c>
      <c r="L108" s="155">
        <f t="shared" si="35"/>
        <v>5845.85</v>
      </c>
      <c r="M108" s="155">
        <f t="shared" si="35"/>
        <v>0</v>
      </c>
      <c r="N108" s="253">
        <f t="shared" si="35"/>
        <v>-215.25</v>
      </c>
      <c r="O108" s="253">
        <f t="shared" si="35"/>
        <v>-5224.6900000000005</v>
      </c>
      <c r="P108" s="155">
        <f t="shared" si="35"/>
        <v>0</v>
      </c>
      <c r="Q108" s="244">
        <f t="shared" si="35"/>
        <v>3348.3999999999978</v>
      </c>
      <c r="R108" s="155">
        <f t="shared" si="35"/>
        <v>0</v>
      </c>
      <c r="S108" s="155">
        <f t="shared" si="35"/>
        <v>0</v>
      </c>
      <c r="T108" s="155">
        <f t="shared" si="35"/>
        <v>0</v>
      </c>
      <c r="U108" s="155">
        <f t="shared" si="35"/>
        <v>0</v>
      </c>
      <c r="V108" s="155">
        <f t="shared" si="35"/>
        <v>0</v>
      </c>
      <c r="W108" s="155">
        <f t="shared" si="35"/>
        <v>1429.42</v>
      </c>
      <c r="X108" s="155">
        <f t="shared" si="35"/>
        <v>-12631.9</v>
      </c>
      <c r="Y108" s="155">
        <f t="shared" si="35"/>
        <v>756.21</v>
      </c>
      <c r="Z108" s="155">
        <f t="shared" si="35"/>
        <v>0</v>
      </c>
      <c r="AA108" s="155">
        <f t="shared" si="35"/>
        <v>-1637.5</v>
      </c>
      <c r="AB108" s="155">
        <f t="shared" si="35"/>
        <v>-15607.14</v>
      </c>
      <c r="AC108" s="155">
        <f t="shared" si="35"/>
        <v>-12258.739999999991</v>
      </c>
      <c r="AD108" s="167">
        <f t="shared" si="30"/>
        <v>-12258.740000000002</v>
      </c>
      <c r="AE108" s="167">
        <f t="shared" si="22"/>
        <v>0</v>
      </c>
    </row>
    <row r="109" spans="1:31" ht="20.25" customHeight="1" x14ac:dyDescent="0.25">
      <c r="A109" s="2" t="s">
        <v>100</v>
      </c>
      <c r="B109" s="142" cm="1">
        <f t="array" ref="B109">IF(ISERROR(_xlfn.XLOOKUP(B$5,'QB_Funds Analysis raw'!$B$5:$AC$5, _xlfn.XLOOKUP($A109,'QB_Funds Analysis raw'!$A$6:$A$104,'QB_Funds Analysis raw'!$B$6:$AC$104))),0,(_xlfn.XLOOKUP(B$5,'QB_Funds Analysis raw'!$B$5:$AC$5, _xlfn.XLOOKUP($A109,'QB_Funds Analysis raw'!$A$6:$A$104,'QB_Funds Analysis raw'!$B$6:$AC$104))))</f>
        <v>0</v>
      </c>
      <c r="C109" s="142" cm="1">
        <f t="array" ref="C109">IF(ISERROR(_xlfn.XLOOKUP(C$5,'QB_Funds Analysis raw'!$B$5:$AC$5, _xlfn.XLOOKUP($A109,'QB_Funds Analysis raw'!$A$6:$A$104,'QB_Funds Analysis raw'!$B$6:$AC$104))),0,(_xlfn.XLOOKUP(C$5,'QB_Funds Analysis raw'!$B$5:$AC$5, _xlfn.XLOOKUP($A109,'QB_Funds Analysis raw'!$A$6:$A$104,'QB_Funds Analysis raw'!$B$6:$AC$104))))</f>
        <v>0</v>
      </c>
      <c r="D109" s="252" cm="1">
        <f t="array" ref="D109">IF(ISERROR(_xlfn.XLOOKUP(D$5,'QB_Funds Analysis raw'!$B$5:$AC$5, _xlfn.XLOOKUP($A109,'QB_Funds Analysis raw'!$A$6:$A$104,'QB_Funds Analysis raw'!$B$6:$AC$104))),0,(_xlfn.XLOOKUP(D$5,'QB_Funds Analysis raw'!$B$5:$AC$5, _xlfn.XLOOKUP($A109,'QB_Funds Analysis raw'!$A$6:$A$104,'QB_Funds Analysis raw'!$B$6:$AC$104))))</f>
        <v>0</v>
      </c>
      <c r="E109" s="142" cm="1">
        <f t="array" ref="E109">IF(ISERROR(_xlfn.XLOOKUP(E$5,'QB_Funds Analysis raw'!$B$5:$AC$5, _xlfn.XLOOKUP($A109,'QB_Funds Analysis raw'!$A$6:$A$104,'QB_Funds Analysis raw'!$B$6:$AC$104))),0,(_xlfn.XLOOKUP(E$5,'QB_Funds Analysis raw'!$B$5:$AC$5, _xlfn.XLOOKUP($A109,'QB_Funds Analysis raw'!$A$6:$A$104,'QB_Funds Analysis raw'!$B$6:$AC$104))))</f>
        <v>0</v>
      </c>
      <c r="F109" s="142" cm="1">
        <f t="array" ref="F109">IF(ISERROR(_xlfn.XLOOKUP(F$5,'QB_Funds Analysis raw'!$B$5:$AC$5, _xlfn.XLOOKUP($A109,'QB_Funds Analysis raw'!$A$6:$A$104,'QB_Funds Analysis raw'!$B$6:$AC$104))),0,(_xlfn.XLOOKUP(F$5,'QB_Funds Analysis raw'!$B$5:$AC$5, _xlfn.XLOOKUP($A109,'QB_Funds Analysis raw'!$A$6:$A$104,'QB_Funds Analysis raw'!$B$6:$AC$104))))</f>
        <v>0</v>
      </c>
      <c r="G109" s="142" cm="1">
        <f t="array" ref="G109">IF(ISERROR(_xlfn.XLOOKUP(G$5,'QB_Funds Analysis raw'!$B$5:$AC$5, _xlfn.XLOOKUP($A109,'QB_Funds Analysis raw'!$A$6:$A$104,'QB_Funds Analysis raw'!$B$6:$AC$104))),0,(_xlfn.XLOOKUP(G$5,'QB_Funds Analysis raw'!$B$5:$AC$5, _xlfn.XLOOKUP($A109,'QB_Funds Analysis raw'!$A$6:$A$104,'QB_Funds Analysis raw'!$B$6:$AC$104))))</f>
        <v>0</v>
      </c>
      <c r="H109" s="142" cm="1">
        <f t="array" ref="H109">IF(ISERROR(_xlfn.XLOOKUP(H$5,'QB_Funds Analysis raw'!$B$5:$AC$5, _xlfn.XLOOKUP($A109,'QB_Funds Analysis raw'!$A$6:$A$104,'QB_Funds Analysis raw'!$B$6:$AC$104))),0,(_xlfn.XLOOKUP(H$5,'QB_Funds Analysis raw'!$B$5:$AC$5, _xlfn.XLOOKUP($A109,'QB_Funds Analysis raw'!$A$6:$A$104,'QB_Funds Analysis raw'!$B$6:$AC$104))))</f>
        <v>0</v>
      </c>
      <c r="I109" s="142" cm="1">
        <f t="array" ref="I109">IF(ISERROR(_xlfn.XLOOKUP(I$5,'QB_Funds Analysis raw'!$B$5:$AC$5, _xlfn.XLOOKUP($A109,'QB_Funds Analysis raw'!$A$6:$A$104,'QB_Funds Analysis raw'!$B$6:$AC$104))),0,(_xlfn.XLOOKUP(I$5,'QB_Funds Analysis raw'!$B$5:$AC$5, _xlfn.XLOOKUP($A109,'QB_Funds Analysis raw'!$A$6:$A$104,'QB_Funds Analysis raw'!$B$6:$AC$104))))</f>
        <v>0</v>
      </c>
      <c r="J109" s="142" cm="1">
        <f t="array" ref="J109">IF(ISERROR(_xlfn.XLOOKUP(J$5,'QB_Funds Analysis raw'!$B$5:$AC$5, _xlfn.XLOOKUP($A109,'QB_Funds Analysis raw'!$A$6:$A$104,'QB_Funds Analysis raw'!$B$6:$AC$104))),0,(_xlfn.XLOOKUP(J$5,'QB_Funds Analysis raw'!$B$5:$AC$5, _xlfn.XLOOKUP($A109,'QB_Funds Analysis raw'!$A$6:$A$104,'QB_Funds Analysis raw'!$B$6:$AC$104))))</f>
        <v>0</v>
      </c>
      <c r="K109" s="252" cm="1">
        <f t="array" ref="K109">IF(ISERROR(_xlfn.XLOOKUP(K$5,'QB_Funds Analysis raw'!$B$5:$AC$5, _xlfn.XLOOKUP($A109,'QB_Funds Analysis raw'!$A$6:$A$104,'QB_Funds Analysis raw'!$B$6:$AC$104))),0,(_xlfn.XLOOKUP(K$5,'QB_Funds Analysis raw'!$B$5:$AC$5, _xlfn.XLOOKUP($A109,'QB_Funds Analysis raw'!$A$6:$A$104,'QB_Funds Analysis raw'!$B$6:$AC$104))))</f>
        <v>0</v>
      </c>
      <c r="L109" s="142" cm="1">
        <f t="array" ref="L109">IF(ISERROR(_xlfn.XLOOKUP(L$5,'QB_Funds Analysis raw'!$B$5:$AC$5, _xlfn.XLOOKUP($A109,'QB_Funds Analysis raw'!$A$6:$A$104,'QB_Funds Analysis raw'!$B$6:$AC$104))),0,(_xlfn.XLOOKUP(L$5,'QB_Funds Analysis raw'!$B$5:$AC$5, _xlfn.XLOOKUP($A109,'QB_Funds Analysis raw'!$A$6:$A$104,'QB_Funds Analysis raw'!$B$6:$AC$104))))</f>
        <v>0</v>
      </c>
      <c r="M109" s="142" cm="1">
        <f t="array" ref="M109">IF(ISERROR(_xlfn.XLOOKUP(M$5,'QB_Funds Analysis raw'!$B$5:$AC$5, _xlfn.XLOOKUP($A109,'QB_Funds Analysis raw'!$A$6:$A$104,'QB_Funds Analysis raw'!$B$6:$AC$104))),0,(_xlfn.XLOOKUP(M$5,'QB_Funds Analysis raw'!$B$5:$AC$5, _xlfn.XLOOKUP($A109,'QB_Funds Analysis raw'!$A$6:$A$104,'QB_Funds Analysis raw'!$B$6:$AC$104))))</f>
        <v>0</v>
      </c>
      <c r="N109" s="252" cm="1">
        <f t="array" ref="N109">IF(ISERROR(_xlfn.XLOOKUP(N$5,'QB_Funds Analysis raw'!$B$5:$AC$5, _xlfn.XLOOKUP($A109,'QB_Funds Analysis raw'!$A$6:$A$104,'QB_Funds Analysis raw'!$B$6:$AC$104))),0,(_xlfn.XLOOKUP(N$5,'QB_Funds Analysis raw'!$B$5:$AC$5, _xlfn.XLOOKUP($A109,'QB_Funds Analysis raw'!$A$6:$A$104,'QB_Funds Analysis raw'!$B$6:$AC$104))))</f>
        <v>0</v>
      </c>
      <c r="O109" s="252" cm="1">
        <f t="array" ref="O109">IF(ISERROR(_xlfn.XLOOKUP(O$5,'QB_Funds Analysis raw'!$B$5:$AC$5, _xlfn.XLOOKUP($A109,'QB_Funds Analysis raw'!$A$6:$A$104,'QB_Funds Analysis raw'!$B$6:$AC$104))),0,(_xlfn.XLOOKUP(O$5,'QB_Funds Analysis raw'!$B$5:$AC$5, _xlfn.XLOOKUP($A109,'QB_Funds Analysis raw'!$A$6:$A$104,'QB_Funds Analysis raw'!$B$6:$AC$104))))</f>
        <v>0</v>
      </c>
      <c r="P109" s="142" cm="1">
        <f t="array" ref="P109">IF(ISERROR(_xlfn.XLOOKUP(P$5,'QB_Funds Analysis raw'!$B$5:$AC$5, _xlfn.XLOOKUP($A109,'QB_Funds Analysis raw'!$A$6:$A$104,'QB_Funds Analysis raw'!$B$6:$AC$104))),0,(_xlfn.XLOOKUP(P$5,'QB_Funds Analysis raw'!$B$5:$AC$5, _xlfn.XLOOKUP($A109,'QB_Funds Analysis raw'!$A$6:$A$104,'QB_Funds Analysis raw'!$B$6:$AC$104))))</f>
        <v>0</v>
      </c>
      <c r="Q109" s="247" cm="1">
        <f t="array" ref="Q109">IF(ISERROR(_xlfn.XLOOKUP(Q$5,'QB_Funds Analysis raw'!$B$5:$AC$5, _xlfn.XLOOKUP($A109,'QB_Funds Analysis raw'!$A$6:$A$104,'QB_Funds Analysis raw'!$B$6:$AC$104))),0,(_xlfn.XLOOKUP(Q$5,'QB_Funds Analysis raw'!$B$5:$AC$5, _xlfn.XLOOKUP($A109,'QB_Funds Analysis raw'!$A$6:$A$104,'QB_Funds Analysis raw'!$B$6:$AC$104))))</f>
        <v>0</v>
      </c>
      <c r="R109" s="142" cm="1">
        <f t="array" ref="R109">IF(ISERROR(_xlfn.XLOOKUP(R$5,'QB_Funds Analysis raw'!$B$5:$AC$5, _xlfn.XLOOKUP($A109,'QB_Funds Analysis raw'!$A$6:$A$104,'QB_Funds Analysis raw'!$B$6:$AC$104))),0,(_xlfn.XLOOKUP(R$5,'QB_Funds Analysis raw'!$B$5:$AC$5, _xlfn.XLOOKUP($A109,'QB_Funds Analysis raw'!$A$6:$A$104,'QB_Funds Analysis raw'!$B$6:$AC$104))))</f>
        <v>0</v>
      </c>
      <c r="S109" s="142" cm="1">
        <f t="array" ref="S109">IF(ISERROR(_xlfn.XLOOKUP(S$5,'QB_Funds Analysis raw'!$B$5:$AC$5, _xlfn.XLOOKUP($A109,'QB_Funds Analysis raw'!$A$6:$A$104,'QB_Funds Analysis raw'!$B$6:$AC$104))),0,(_xlfn.XLOOKUP(S$5,'QB_Funds Analysis raw'!$B$5:$AC$5, _xlfn.XLOOKUP($A109,'QB_Funds Analysis raw'!$A$6:$A$104,'QB_Funds Analysis raw'!$B$6:$AC$104))))</f>
        <v>0</v>
      </c>
      <c r="T109" s="142" cm="1">
        <f t="array" ref="T109">IF(ISERROR(_xlfn.XLOOKUP(T$5,'QB_Funds Analysis raw'!$B$5:$AC$5, _xlfn.XLOOKUP($A109,'QB_Funds Analysis raw'!$A$6:$A$104,'QB_Funds Analysis raw'!$B$6:$AC$104))),0,(_xlfn.XLOOKUP(T$5,'QB_Funds Analysis raw'!$B$5:$AC$5, _xlfn.XLOOKUP($A109,'QB_Funds Analysis raw'!$A$6:$A$104,'QB_Funds Analysis raw'!$B$6:$AC$104))))</f>
        <v>0</v>
      </c>
      <c r="U109" s="142" cm="1">
        <f t="array" ref="U109">IF(ISERROR(_xlfn.XLOOKUP(U$5,'QB_Funds Analysis raw'!$B$5:$AC$5, _xlfn.XLOOKUP($A109,'QB_Funds Analysis raw'!$A$6:$A$104,'QB_Funds Analysis raw'!$B$6:$AC$104))),0,(_xlfn.XLOOKUP(U$5,'QB_Funds Analysis raw'!$B$5:$AC$5, _xlfn.XLOOKUP($A109,'QB_Funds Analysis raw'!$A$6:$A$104,'QB_Funds Analysis raw'!$B$6:$AC$104))))</f>
        <v>0</v>
      </c>
      <c r="V109" s="142" cm="1">
        <f t="array" ref="V109">IF(ISERROR(_xlfn.XLOOKUP(V$5,'QB_Funds Analysis raw'!$B$5:$AC$5, _xlfn.XLOOKUP($A109,'QB_Funds Analysis raw'!$A$6:$A$104,'QB_Funds Analysis raw'!$B$6:$AC$104))),0,(_xlfn.XLOOKUP(V$5,'QB_Funds Analysis raw'!$B$5:$AC$5, _xlfn.XLOOKUP($A109,'QB_Funds Analysis raw'!$A$6:$A$104,'QB_Funds Analysis raw'!$B$6:$AC$104))))</f>
        <v>0</v>
      </c>
      <c r="W109" s="142" cm="1">
        <f t="array" ref="W109">IF(ISERROR(_xlfn.XLOOKUP(W$5,'QB_Funds Analysis raw'!$B$5:$AC$5, _xlfn.XLOOKUP($A109,'QB_Funds Analysis raw'!$A$6:$A$104,'QB_Funds Analysis raw'!$B$6:$AC$104))),0,(_xlfn.XLOOKUP(W$5,'QB_Funds Analysis raw'!$B$5:$AC$5, _xlfn.XLOOKUP($A109,'QB_Funds Analysis raw'!$A$6:$A$104,'QB_Funds Analysis raw'!$B$6:$AC$104))))</f>
        <v>0</v>
      </c>
      <c r="X109" s="142" cm="1">
        <f t="array" ref="X109">IF(ISERROR(_xlfn.XLOOKUP(X$5,'QB_Funds Analysis raw'!$B$5:$AC$5, _xlfn.XLOOKUP($A109,'QB_Funds Analysis raw'!$A$6:$A$104,'QB_Funds Analysis raw'!$B$6:$AC$104))),0,(_xlfn.XLOOKUP(X$5,'QB_Funds Analysis raw'!$B$5:$AC$5, _xlfn.XLOOKUP($A109,'QB_Funds Analysis raw'!$A$6:$A$104,'QB_Funds Analysis raw'!$B$6:$AC$104))))</f>
        <v>0</v>
      </c>
      <c r="Y109" s="142" cm="1">
        <f t="array" ref="Y109">IF(ISERROR(_xlfn.XLOOKUP(Y$5,'QB_Funds Analysis raw'!$B$5:$AC$5, _xlfn.XLOOKUP($A109,'QB_Funds Analysis raw'!$A$6:$A$104,'QB_Funds Analysis raw'!$B$6:$AC$104))),0,(_xlfn.XLOOKUP(Y$5,'QB_Funds Analysis raw'!$B$5:$AC$5, _xlfn.XLOOKUP($A109,'QB_Funds Analysis raw'!$A$6:$A$104,'QB_Funds Analysis raw'!$B$6:$AC$104))))</f>
        <v>0</v>
      </c>
      <c r="Z109" s="142" cm="1">
        <f t="array" ref="Z109">IF(ISERROR(_xlfn.XLOOKUP(Z$5,'QB_Funds Analysis raw'!$B$5:$AC$5, _xlfn.XLOOKUP($A109,'QB_Funds Analysis raw'!$A$6:$A$104,'QB_Funds Analysis raw'!$B$6:$AC$104))),0,(_xlfn.XLOOKUP(Z$5,'QB_Funds Analysis raw'!$B$5:$AC$5, _xlfn.XLOOKUP($A109,'QB_Funds Analysis raw'!$A$6:$A$104,'QB_Funds Analysis raw'!$B$6:$AC$104))))</f>
        <v>0</v>
      </c>
      <c r="AA109" s="142" cm="1">
        <f t="array" ref="AA109">IF(ISERROR(_xlfn.XLOOKUP(AA$5,'QB_Funds Analysis raw'!$B$5:$AC$5, _xlfn.XLOOKUP($A109,'QB_Funds Analysis raw'!$A$6:$A$104,'QB_Funds Analysis raw'!$B$6:$AC$104))),0,(_xlfn.XLOOKUP(AA$5,'QB_Funds Analysis raw'!$B$5:$AC$5, _xlfn.XLOOKUP($A109,'QB_Funds Analysis raw'!$A$6:$A$104,'QB_Funds Analysis raw'!$B$6:$AC$104))))</f>
        <v>0</v>
      </c>
      <c r="AB109" s="142" cm="1">
        <f t="array" ref="AB109">IF(ISERROR(_xlfn.XLOOKUP(AB$5,'QB_Funds Analysis raw'!$B$5:$AC$5, _xlfn.XLOOKUP($A109,'QB_Funds Analysis raw'!$A$6:$A$104,'QB_Funds Analysis raw'!$B$6:$AC$104))),0,(_xlfn.XLOOKUP(AB$5,'QB_Funds Analysis raw'!$B$5:$AC$5, _xlfn.XLOOKUP($A109,'QB_Funds Analysis raw'!$A$6:$A$104,'QB_Funds Analysis raw'!$B$6:$AC$104))))</f>
        <v>0</v>
      </c>
      <c r="AC109" s="142" cm="1">
        <f t="array" ref="AC109">IF(ISERROR(_xlfn.XLOOKUP(AC$5,'QB_Funds Analysis raw'!$B$5:$AC$5, _xlfn.XLOOKUP($A109,'QB_Funds Analysis raw'!$A$6:$A$104,'QB_Funds Analysis raw'!$B$6:$AC$104))),0,(_xlfn.XLOOKUP(AC$5,'QB_Funds Analysis raw'!$B$5:$AC$5, _xlfn.XLOOKUP($A109,'QB_Funds Analysis raw'!$A$6:$A$104,'QB_Funds Analysis raw'!$B$6:$AC$104))))</f>
        <v>0</v>
      </c>
      <c r="AD109" s="167">
        <f t="shared" si="30"/>
        <v>0</v>
      </c>
      <c r="AE109" s="167">
        <f t="shared" si="22"/>
        <v>0</v>
      </c>
    </row>
    <row r="110" spans="1:31" ht="20.25" customHeight="1" x14ac:dyDescent="0.25">
      <c r="A110" s="2" t="s">
        <v>101</v>
      </c>
      <c r="B110" s="142" cm="1">
        <f t="array" ref="B110">IF(ISERROR(_xlfn.XLOOKUP(B$5,'QB_Funds Analysis raw'!$B$5:$AC$5, _xlfn.XLOOKUP($A110,'QB_Funds Analysis raw'!$A$6:$A$104,'QB_Funds Analysis raw'!$B$6:$AC$104))),0,(_xlfn.XLOOKUP(B$5,'QB_Funds Analysis raw'!$B$5:$AC$5, _xlfn.XLOOKUP($A110,'QB_Funds Analysis raw'!$A$6:$A$104,'QB_Funds Analysis raw'!$B$6:$AC$104))))</f>
        <v>0</v>
      </c>
      <c r="C110" s="142" cm="1">
        <f t="array" ref="C110">IF(ISERROR(_xlfn.XLOOKUP(C$5,'QB_Funds Analysis raw'!$B$5:$AC$5, _xlfn.XLOOKUP($A110,'QB_Funds Analysis raw'!$A$6:$A$104,'QB_Funds Analysis raw'!$B$6:$AC$104))),0,(_xlfn.XLOOKUP(C$5,'QB_Funds Analysis raw'!$B$5:$AC$5, _xlfn.XLOOKUP($A110,'QB_Funds Analysis raw'!$A$6:$A$104,'QB_Funds Analysis raw'!$B$6:$AC$104))))</f>
        <v>0</v>
      </c>
      <c r="D110" s="252" cm="1">
        <f t="array" ref="D110">IF(ISERROR(_xlfn.XLOOKUP(D$5,'QB_Funds Analysis raw'!$B$5:$AC$5, _xlfn.XLOOKUP($A110,'QB_Funds Analysis raw'!$A$6:$A$104,'QB_Funds Analysis raw'!$B$6:$AC$104))),0,(_xlfn.XLOOKUP(D$5,'QB_Funds Analysis raw'!$B$5:$AC$5, _xlfn.XLOOKUP($A110,'QB_Funds Analysis raw'!$A$6:$A$104,'QB_Funds Analysis raw'!$B$6:$AC$104))))</f>
        <v>0</v>
      </c>
      <c r="E110" s="142" cm="1">
        <f t="array" ref="E110">IF(ISERROR(_xlfn.XLOOKUP(E$5,'QB_Funds Analysis raw'!$B$5:$AC$5, _xlfn.XLOOKUP($A110,'QB_Funds Analysis raw'!$A$6:$A$104,'QB_Funds Analysis raw'!$B$6:$AC$104))),0,(_xlfn.XLOOKUP(E$5,'QB_Funds Analysis raw'!$B$5:$AC$5, _xlfn.XLOOKUP($A110,'QB_Funds Analysis raw'!$A$6:$A$104,'QB_Funds Analysis raw'!$B$6:$AC$104))))</f>
        <v>0</v>
      </c>
      <c r="F110" s="142" cm="1">
        <f t="array" ref="F110">IF(ISERROR(_xlfn.XLOOKUP(F$5,'QB_Funds Analysis raw'!$B$5:$AC$5, _xlfn.XLOOKUP($A110,'QB_Funds Analysis raw'!$A$6:$A$104,'QB_Funds Analysis raw'!$B$6:$AC$104))),0,(_xlfn.XLOOKUP(F$5,'QB_Funds Analysis raw'!$B$5:$AC$5, _xlfn.XLOOKUP($A110,'QB_Funds Analysis raw'!$A$6:$A$104,'QB_Funds Analysis raw'!$B$6:$AC$104))))</f>
        <v>0</v>
      </c>
      <c r="G110" s="142" cm="1">
        <f t="array" ref="G110">IF(ISERROR(_xlfn.XLOOKUP(G$5,'QB_Funds Analysis raw'!$B$5:$AC$5, _xlfn.XLOOKUP($A110,'QB_Funds Analysis raw'!$A$6:$A$104,'QB_Funds Analysis raw'!$B$6:$AC$104))),0,(_xlfn.XLOOKUP(G$5,'QB_Funds Analysis raw'!$B$5:$AC$5, _xlfn.XLOOKUP($A110,'QB_Funds Analysis raw'!$A$6:$A$104,'QB_Funds Analysis raw'!$B$6:$AC$104))))</f>
        <v>0</v>
      </c>
      <c r="H110" s="142" cm="1">
        <f t="array" ref="H110">IF(ISERROR(_xlfn.XLOOKUP(H$5,'QB_Funds Analysis raw'!$B$5:$AC$5, _xlfn.XLOOKUP($A110,'QB_Funds Analysis raw'!$A$6:$A$104,'QB_Funds Analysis raw'!$B$6:$AC$104))),0,(_xlfn.XLOOKUP(H$5,'QB_Funds Analysis raw'!$B$5:$AC$5, _xlfn.XLOOKUP($A110,'QB_Funds Analysis raw'!$A$6:$A$104,'QB_Funds Analysis raw'!$B$6:$AC$104))))</f>
        <v>0</v>
      </c>
      <c r="I110" s="142" cm="1">
        <f t="array" ref="I110">IF(ISERROR(_xlfn.XLOOKUP(I$5,'QB_Funds Analysis raw'!$B$5:$AC$5, _xlfn.XLOOKUP($A110,'QB_Funds Analysis raw'!$A$6:$A$104,'QB_Funds Analysis raw'!$B$6:$AC$104))),0,(_xlfn.XLOOKUP(I$5,'QB_Funds Analysis raw'!$B$5:$AC$5, _xlfn.XLOOKUP($A110,'QB_Funds Analysis raw'!$A$6:$A$104,'QB_Funds Analysis raw'!$B$6:$AC$104))))</f>
        <v>0</v>
      </c>
      <c r="J110" s="142" cm="1">
        <f t="array" ref="J110">IF(ISERROR(_xlfn.XLOOKUP(J$5,'QB_Funds Analysis raw'!$B$5:$AC$5, _xlfn.XLOOKUP($A110,'QB_Funds Analysis raw'!$A$6:$A$104,'QB_Funds Analysis raw'!$B$6:$AC$104))),0,(_xlfn.XLOOKUP(J$5,'QB_Funds Analysis raw'!$B$5:$AC$5, _xlfn.XLOOKUP($A110,'QB_Funds Analysis raw'!$A$6:$A$104,'QB_Funds Analysis raw'!$B$6:$AC$104))))</f>
        <v>0</v>
      </c>
      <c r="K110" s="252" cm="1">
        <f t="array" ref="K110">IF(ISERROR(_xlfn.XLOOKUP(K$5,'QB_Funds Analysis raw'!$B$5:$AC$5, _xlfn.XLOOKUP($A110,'QB_Funds Analysis raw'!$A$6:$A$104,'QB_Funds Analysis raw'!$B$6:$AC$104))),0,(_xlfn.XLOOKUP(K$5,'QB_Funds Analysis raw'!$B$5:$AC$5, _xlfn.XLOOKUP($A110,'QB_Funds Analysis raw'!$A$6:$A$104,'QB_Funds Analysis raw'!$B$6:$AC$104))))</f>
        <v>0</v>
      </c>
      <c r="L110" s="142" cm="1">
        <f t="array" ref="L110">IF(ISERROR(_xlfn.XLOOKUP(L$5,'QB_Funds Analysis raw'!$B$5:$AC$5, _xlfn.XLOOKUP($A110,'QB_Funds Analysis raw'!$A$6:$A$104,'QB_Funds Analysis raw'!$B$6:$AC$104))),0,(_xlfn.XLOOKUP(L$5,'QB_Funds Analysis raw'!$B$5:$AC$5, _xlfn.XLOOKUP($A110,'QB_Funds Analysis raw'!$A$6:$A$104,'QB_Funds Analysis raw'!$B$6:$AC$104))))</f>
        <v>0</v>
      </c>
      <c r="M110" s="142" cm="1">
        <f t="array" ref="M110">IF(ISERROR(_xlfn.XLOOKUP(M$5,'QB_Funds Analysis raw'!$B$5:$AC$5, _xlfn.XLOOKUP($A110,'QB_Funds Analysis raw'!$A$6:$A$104,'QB_Funds Analysis raw'!$B$6:$AC$104))),0,(_xlfn.XLOOKUP(M$5,'QB_Funds Analysis raw'!$B$5:$AC$5, _xlfn.XLOOKUP($A110,'QB_Funds Analysis raw'!$A$6:$A$104,'QB_Funds Analysis raw'!$B$6:$AC$104))))</f>
        <v>0</v>
      </c>
      <c r="N110" s="252" cm="1">
        <f t="array" ref="N110">IF(ISERROR(_xlfn.XLOOKUP(N$5,'QB_Funds Analysis raw'!$B$5:$AC$5, _xlfn.XLOOKUP($A110,'QB_Funds Analysis raw'!$A$6:$A$104,'QB_Funds Analysis raw'!$B$6:$AC$104))),0,(_xlfn.XLOOKUP(N$5,'QB_Funds Analysis raw'!$B$5:$AC$5, _xlfn.XLOOKUP($A110,'QB_Funds Analysis raw'!$A$6:$A$104,'QB_Funds Analysis raw'!$B$6:$AC$104))))</f>
        <v>0</v>
      </c>
      <c r="O110" s="252" cm="1">
        <f t="array" ref="O110">IF(ISERROR(_xlfn.XLOOKUP(O$5,'QB_Funds Analysis raw'!$B$5:$AC$5, _xlfn.XLOOKUP($A110,'QB_Funds Analysis raw'!$A$6:$A$104,'QB_Funds Analysis raw'!$B$6:$AC$104))),0,(_xlfn.XLOOKUP(O$5,'QB_Funds Analysis raw'!$B$5:$AC$5, _xlfn.XLOOKUP($A110,'QB_Funds Analysis raw'!$A$6:$A$104,'QB_Funds Analysis raw'!$B$6:$AC$104))))</f>
        <v>0</v>
      </c>
      <c r="P110" s="142" cm="1">
        <f t="array" ref="P110">IF(ISERROR(_xlfn.XLOOKUP(P$5,'QB_Funds Analysis raw'!$B$5:$AC$5, _xlfn.XLOOKUP($A110,'QB_Funds Analysis raw'!$A$6:$A$104,'QB_Funds Analysis raw'!$B$6:$AC$104))),0,(_xlfn.XLOOKUP(P$5,'QB_Funds Analysis raw'!$B$5:$AC$5, _xlfn.XLOOKUP($A110,'QB_Funds Analysis raw'!$A$6:$A$104,'QB_Funds Analysis raw'!$B$6:$AC$104))))</f>
        <v>0</v>
      </c>
      <c r="Q110" s="247" cm="1">
        <f t="array" ref="Q110">IF(ISERROR(_xlfn.XLOOKUP(Q$5,'QB_Funds Analysis raw'!$B$5:$AC$5, _xlfn.XLOOKUP($A110,'QB_Funds Analysis raw'!$A$6:$A$104,'QB_Funds Analysis raw'!$B$6:$AC$104))),0,(_xlfn.XLOOKUP(Q$5,'QB_Funds Analysis raw'!$B$5:$AC$5, _xlfn.XLOOKUP($A110,'QB_Funds Analysis raw'!$A$6:$A$104,'QB_Funds Analysis raw'!$B$6:$AC$104))))</f>
        <v>0</v>
      </c>
      <c r="R110" s="142" cm="1">
        <f t="array" ref="R110">IF(ISERROR(_xlfn.XLOOKUP(R$5,'QB_Funds Analysis raw'!$B$5:$AC$5, _xlfn.XLOOKUP($A110,'QB_Funds Analysis raw'!$A$6:$A$104,'QB_Funds Analysis raw'!$B$6:$AC$104))),0,(_xlfn.XLOOKUP(R$5,'QB_Funds Analysis raw'!$B$5:$AC$5, _xlfn.XLOOKUP($A110,'QB_Funds Analysis raw'!$A$6:$A$104,'QB_Funds Analysis raw'!$B$6:$AC$104))))</f>
        <v>0</v>
      </c>
      <c r="S110" s="142" cm="1">
        <f t="array" ref="S110">IF(ISERROR(_xlfn.XLOOKUP(S$5,'QB_Funds Analysis raw'!$B$5:$AC$5, _xlfn.XLOOKUP($A110,'QB_Funds Analysis raw'!$A$6:$A$104,'QB_Funds Analysis raw'!$B$6:$AC$104))),0,(_xlfn.XLOOKUP(S$5,'QB_Funds Analysis raw'!$B$5:$AC$5, _xlfn.XLOOKUP($A110,'QB_Funds Analysis raw'!$A$6:$A$104,'QB_Funds Analysis raw'!$B$6:$AC$104))))</f>
        <v>0</v>
      </c>
      <c r="T110" s="142" cm="1">
        <f t="array" ref="T110">IF(ISERROR(_xlfn.XLOOKUP(T$5,'QB_Funds Analysis raw'!$B$5:$AC$5, _xlfn.XLOOKUP($A110,'QB_Funds Analysis raw'!$A$6:$A$104,'QB_Funds Analysis raw'!$B$6:$AC$104))),0,(_xlfn.XLOOKUP(T$5,'QB_Funds Analysis raw'!$B$5:$AC$5, _xlfn.XLOOKUP($A110,'QB_Funds Analysis raw'!$A$6:$A$104,'QB_Funds Analysis raw'!$B$6:$AC$104))))</f>
        <v>0</v>
      </c>
      <c r="U110" s="142" cm="1">
        <f t="array" ref="U110">IF(ISERROR(_xlfn.XLOOKUP(U$5,'QB_Funds Analysis raw'!$B$5:$AC$5, _xlfn.XLOOKUP($A110,'QB_Funds Analysis raw'!$A$6:$A$104,'QB_Funds Analysis raw'!$B$6:$AC$104))),0,(_xlfn.XLOOKUP(U$5,'QB_Funds Analysis raw'!$B$5:$AC$5, _xlfn.XLOOKUP($A110,'QB_Funds Analysis raw'!$A$6:$A$104,'QB_Funds Analysis raw'!$B$6:$AC$104))))</f>
        <v>0</v>
      </c>
      <c r="V110" s="142" cm="1">
        <f t="array" ref="V110">IF(ISERROR(_xlfn.XLOOKUP(V$5,'QB_Funds Analysis raw'!$B$5:$AC$5, _xlfn.XLOOKUP($A110,'QB_Funds Analysis raw'!$A$6:$A$104,'QB_Funds Analysis raw'!$B$6:$AC$104))),0,(_xlfn.XLOOKUP(V$5,'QB_Funds Analysis raw'!$B$5:$AC$5, _xlfn.XLOOKUP($A110,'QB_Funds Analysis raw'!$A$6:$A$104,'QB_Funds Analysis raw'!$B$6:$AC$104))))</f>
        <v>0</v>
      </c>
      <c r="W110" s="142" cm="1">
        <f t="array" ref="W110">IF(ISERROR(_xlfn.XLOOKUP(W$5,'QB_Funds Analysis raw'!$B$5:$AC$5, _xlfn.XLOOKUP($A110,'QB_Funds Analysis raw'!$A$6:$A$104,'QB_Funds Analysis raw'!$B$6:$AC$104))),0,(_xlfn.XLOOKUP(W$5,'QB_Funds Analysis raw'!$B$5:$AC$5, _xlfn.XLOOKUP($A110,'QB_Funds Analysis raw'!$A$6:$A$104,'QB_Funds Analysis raw'!$B$6:$AC$104))))</f>
        <v>0</v>
      </c>
      <c r="X110" s="142" cm="1">
        <f t="array" ref="X110">IF(ISERROR(_xlfn.XLOOKUP(X$5,'QB_Funds Analysis raw'!$B$5:$AC$5, _xlfn.XLOOKUP($A110,'QB_Funds Analysis raw'!$A$6:$A$104,'QB_Funds Analysis raw'!$B$6:$AC$104))),0,(_xlfn.XLOOKUP(X$5,'QB_Funds Analysis raw'!$B$5:$AC$5, _xlfn.XLOOKUP($A110,'QB_Funds Analysis raw'!$A$6:$A$104,'QB_Funds Analysis raw'!$B$6:$AC$104))))</f>
        <v>0</v>
      </c>
      <c r="Y110" s="142" cm="1">
        <f t="array" ref="Y110">IF(ISERROR(_xlfn.XLOOKUP(Y$5,'QB_Funds Analysis raw'!$B$5:$AC$5, _xlfn.XLOOKUP($A110,'QB_Funds Analysis raw'!$A$6:$A$104,'QB_Funds Analysis raw'!$B$6:$AC$104))),0,(_xlfn.XLOOKUP(Y$5,'QB_Funds Analysis raw'!$B$5:$AC$5, _xlfn.XLOOKUP($A110,'QB_Funds Analysis raw'!$A$6:$A$104,'QB_Funds Analysis raw'!$B$6:$AC$104))))</f>
        <v>0</v>
      </c>
      <c r="Z110" s="142" cm="1">
        <f t="array" ref="Z110">IF(ISERROR(_xlfn.XLOOKUP(Z$5,'QB_Funds Analysis raw'!$B$5:$AC$5, _xlfn.XLOOKUP($A110,'QB_Funds Analysis raw'!$A$6:$A$104,'QB_Funds Analysis raw'!$B$6:$AC$104))),0,(_xlfn.XLOOKUP(Z$5,'QB_Funds Analysis raw'!$B$5:$AC$5, _xlfn.XLOOKUP($A110,'QB_Funds Analysis raw'!$A$6:$A$104,'QB_Funds Analysis raw'!$B$6:$AC$104))))</f>
        <v>0</v>
      </c>
      <c r="AA110" s="142" cm="1">
        <f t="array" ref="AA110">IF(ISERROR(_xlfn.XLOOKUP(AA$5,'QB_Funds Analysis raw'!$B$5:$AC$5, _xlfn.XLOOKUP($A110,'QB_Funds Analysis raw'!$A$6:$A$104,'QB_Funds Analysis raw'!$B$6:$AC$104))),0,(_xlfn.XLOOKUP(AA$5,'QB_Funds Analysis raw'!$B$5:$AC$5, _xlfn.XLOOKUP($A110,'QB_Funds Analysis raw'!$A$6:$A$104,'QB_Funds Analysis raw'!$B$6:$AC$104))))</f>
        <v>0</v>
      </c>
      <c r="AB110" s="142" cm="1">
        <f t="array" ref="AB110">IF(ISERROR(_xlfn.XLOOKUP(AB$5,'QB_Funds Analysis raw'!$B$5:$AC$5, _xlfn.XLOOKUP($A110,'QB_Funds Analysis raw'!$A$6:$A$104,'QB_Funds Analysis raw'!$B$6:$AC$104))),0,(_xlfn.XLOOKUP(AB$5,'QB_Funds Analysis raw'!$B$5:$AC$5, _xlfn.XLOOKUP($A110,'QB_Funds Analysis raw'!$A$6:$A$104,'QB_Funds Analysis raw'!$B$6:$AC$104))))</f>
        <v>0</v>
      </c>
      <c r="AC110" s="142" cm="1">
        <f t="array" ref="AC110">IF(ISERROR(_xlfn.XLOOKUP(AC$5,'QB_Funds Analysis raw'!$B$5:$AC$5, _xlfn.XLOOKUP($A110,'QB_Funds Analysis raw'!$A$6:$A$104,'QB_Funds Analysis raw'!$B$6:$AC$104))),0,(_xlfn.XLOOKUP(AC$5,'QB_Funds Analysis raw'!$B$5:$AC$5, _xlfn.XLOOKUP($A110,'QB_Funds Analysis raw'!$A$6:$A$104,'QB_Funds Analysis raw'!$B$6:$AC$104))))</f>
        <v>0</v>
      </c>
      <c r="AD110" s="167">
        <f t="shared" si="30"/>
        <v>0</v>
      </c>
      <c r="AE110" s="167">
        <f t="shared" si="22"/>
        <v>0</v>
      </c>
    </row>
    <row r="111" spans="1:31" ht="20.25" customHeight="1" x14ac:dyDescent="0.25">
      <c r="A111" s="135" t="s">
        <v>102</v>
      </c>
      <c r="B111" s="153">
        <f t="shared" ref="B111" si="36">B110</f>
        <v>0</v>
      </c>
      <c r="C111" s="153">
        <f t="shared" ref="C111:AC111" si="37">C110</f>
        <v>0</v>
      </c>
      <c r="D111" s="253">
        <f t="shared" si="37"/>
        <v>0</v>
      </c>
      <c r="E111" s="153">
        <f t="shared" si="37"/>
        <v>0</v>
      </c>
      <c r="F111" s="153">
        <f t="shared" si="37"/>
        <v>0</v>
      </c>
      <c r="G111" s="153">
        <f t="shared" si="37"/>
        <v>0</v>
      </c>
      <c r="H111" s="153">
        <f t="shared" si="37"/>
        <v>0</v>
      </c>
      <c r="I111" s="153">
        <f t="shared" si="37"/>
        <v>0</v>
      </c>
      <c r="J111" s="153">
        <f t="shared" si="37"/>
        <v>0</v>
      </c>
      <c r="K111" s="253">
        <f t="shared" si="37"/>
        <v>0</v>
      </c>
      <c r="L111" s="153">
        <f t="shared" si="37"/>
        <v>0</v>
      </c>
      <c r="M111" s="153">
        <f t="shared" si="37"/>
        <v>0</v>
      </c>
      <c r="N111" s="253">
        <f t="shared" si="37"/>
        <v>0</v>
      </c>
      <c r="O111" s="253">
        <f t="shared" si="37"/>
        <v>0</v>
      </c>
      <c r="P111" s="153">
        <f t="shared" si="37"/>
        <v>0</v>
      </c>
      <c r="Q111" s="244">
        <f t="shared" si="37"/>
        <v>0</v>
      </c>
      <c r="R111" s="153">
        <f t="shared" si="37"/>
        <v>0</v>
      </c>
      <c r="S111" s="153">
        <f t="shared" si="37"/>
        <v>0</v>
      </c>
      <c r="T111" s="153">
        <f t="shared" si="37"/>
        <v>0</v>
      </c>
      <c r="U111" s="153">
        <f t="shared" si="37"/>
        <v>0</v>
      </c>
      <c r="V111" s="153">
        <f t="shared" si="37"/>
        <v>0</v>
      </c>
      <c r="W111" s="153">
        <f t="shared" si="37"/>
        <v>0</v>
      </c>
      <c r="X111" s="153">
        <f t="shared" si="37"/>
        <v>0</v>
      </c>
      <c r="Y111" s="153">
        <f t="shared" si="37"/>
        <v>0</v>
      </c>
      <c r="Z111" s="153">
        <f t="shared" si="37"/>
        <v>0</v>
      </c>
      <c r="AA111" s="153">
        <f t="shared" si="37"/>
        <v>0</v>
      </c>
      <c r="AB111" s="153">
        <f t="shared" si="37"/>
        <v>0</v>
      </c>
      <c r="AC111" s="153">
        <f t="shared" si="37"/>
        <v>0</v>
      </c>
      <c r="AD111" s="167">
        <f t="shared" si="30"/>
        <v>0</v>
      </c>
      <c r="AE111" s="167">
        <f t="shared" si="22"/>
        <v>0</v>
      </c>
    </row>
    <row r="112" spans="1:31" ht="20.25" customHeight="1" x14ac:dyDescent="0.25">
      <c r="A112" s="138" t="s">
        <v>369</v>
      </c>
      <c r="B112" s="156"/>
      <c r="C112" s="156"/>
      <c r="D112" s="257"/>
      <c r="E112" s="156"/>
      <c r="F112" s="156"/>
      <c r="G112" s="156"/>
      <c r="H112" s="156"/>
      <c r="I112" s="156"/>
      <c r="J112" s="156"/>
      <c r="K112" s="257"/>
      <c r="L112" s="156"/>
      <c r="M112" s="156"/>
      <c r="N112" s="257"/>
      <c r="O112" s="257"/>
      <c r="P112" s="156"/>
      <c r="Q112" s="247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67">
        <f t="shared" si="30"/>
        <v>0</v>
      </c>
      <c r="AE112" s="167">
        <f t="shared" si="22"/>
        <v>0</v>
      </c>
    </row>
    <row r="113" spans="1:31" ht="20.25" customHeight="1" x14ac:dyDescent="0.25">
      <c r="A113" s="73" t="s">
        <v>370</v>
      </c>
      <c r="B113" s="142" cm="1">
        <f t="array" ref="B113">IF(ISERROR(_xlfn.XLOOKUP(B$5,'QB_Funds Analysis raw'!$B$5:$AC$5, _xlfn.XLOOKUP($A113,'QB_Funds Analysis raw'!$A$6:$A$104,'QB_Funds Analysis raw'!$B$6:$AC$104))),0,(_xlfn.XLOOKUP(B$5,'QB_Funds Analysis raw'!$B$5:$AC$5, _xlfn.XLOOKUP($A113,'QB_Funds Analysis raw'!$A$6:$A$104,'QB_Funds Analysis raw'!$B$6:$AC$104))))</f>
        <v>0</v>
      </c>
      <c r="C113" s="142" cm="1">
        <f t="array" ref="C113">IF(ISERROR(_xlfn.XLOOKUP(C$5,'QB_Funds Analysis raw'!$B$5:$AC$5, _xlfn.XLOOKUP($A113,'QB_Funds Analysis raw'!$A$6:$A$104,'QB_Funds Analysis raw'!$B$6:$AC$104))),0,(_xlfn.XLOOKUP(C$5,'QB_Funds Analysis raw'!$B$5:$AC$5, _xlfn.XLOOKUP($A113,'QB_Funds Analysis raw'!$A$6:$A$104,'QB_Funds Analysis raw'!$B$6:$AC$104))))</f>
        <v>0</v>
      </c>
      <c r="D113" s="252" cm="1">
        <f t="array" ref="D113">IF(ISERROR(_xlfn.XLOOKUP(D$5,'QB_Funds Analysis raw'!$B$5:$AC$5, _xlfn.XLOOKUP($A113,'QB_Funds Analysis raw'!$A$6:$A$104,'QB_Funds Analysis raw'!$B$6:$AC$104))),0,(_xlfn.XLOOKUP(D$5,'QB_Funds Analysis raw'!$B$5:$AC$5, _xlfn.XLOOKUP($A113,'QB_Funds Analysis raw'!$A$6:$A$104,'QB_Funds Analysis raw'!$B$6:$AC$104))))</f>
        <v>0</v>
      </c>
      <c r="E113" s="142" cm="1">
        <f t="array" ref="E113">IF(ISERROR(_xlfn.XLOOKUP(E$5,'QB_Funds Analysis raw'!$B$5:$AC$5, _xlfn.XLOOKUP($A113,'QB_Funds Analysis raw'!$A$6:$A$104,'QB_Funds Analysis raw'!$B$6:$AC$104))),0,(_xlfn.XLOOKUP(E$5,'QB_Funds Analysis raw'!$B$5:$AC$5, _xlfn.XLOOKUP($A113,'QB_Funds Analysis raw'!$A$6:$A$104,'QB_Funds Analysis raw'!$B$6:$AC$104))))</f>
        <v>0</v>
      </c>
      <c r="F113" s="142" cm="1">
        <f t="array" ref="F113">IF(ISERROR(_xlfn.XLOOKUP(F$5,'QB_Funds Analysis raw'!$B$5:$AC$5, _xlfn.XLOOKUP($A113,'QB_Funds Analysis raw'!$A$6:$A$104,'QB_Funds Analysis raw'!$B$6:$AC$104))),0,(_xlfn.XLOOKUP(F$5,'QB_Funds Analysis raw'!$B$5:$AC$5, _xlfn.XLOOKUP($A113,'QB_Funds Analysis raw'!$A$6:$A$104,'QB_Funds Analysis raw'!$B$6:$AC$104))))</f>
        <v>0</v>
      </c>
      <c r="G113" s="142" cm="1">
        <f t="array" ref="G113">IF(ISERROR(_xlfn.XLOOKUP(G$5,'QB_Funds Analysis raw'!$B$5:$AC$5, _xlfn.XLOOKUP($A113,'QB_Funds Analysis raw'!$A$6:$A$104,'QB_Funds Analysis raw'!$B$6:$AC$104))),0,(_xlfn.XLOOKUP(G$5,'QB_Funds Analysis raw'!$B$5:$AC$5, _xlfn.XLOOKUP($A113,'QB_Funds Analysis raw'!$A$6:$A$104,'QB_Funds Analysis raw'!$B$6:$AC$104))))</f>
        <v>0</v>
      </c>
      <c r="H113" s="142" cm="1">
        <f t="array" ref="H113">IF(ISERROR(_xlfn.XLOOKUP(H$5,'QB_Funds Analysis raw'!$B$5:$AC$5, _xlfn.XLOOKUP($A113,'QB_Funds Analysis raw'!$A$6:$A$104,'QB_Funds Analysis raw'!$B$6:$AC$104))),0,(_xlfn.XLOOKUP(H$5,'QB_Funds Analysis raw'!$B$5:$AC$5, _xlfn.XLOOKUP($A113,'QB_Funds Analysis raw'!$A$6:$A$104,'QB_Funds Analysis raw'!$B$6:$AC$104))))</f>
        <v>0</v>
      </c>
      <c r="I113" s="142" cm="1">
        <f t="array" ref="I113">IF(ISERROR(_xlfn.XLOOKUP(I$5,'QB_Funds Analysis raw'!$B$5:$AC$5, _xlfn.XLOOKUP($A113,'QB_Funds Analysis raw'!$A$6:$A$104,'QB_Funds Analysis raw'!$B$6:$AC$104))),0,(_xlfn.XLOOKUP(I$5,'QB_Funds Analysis raw'!$B$5:$AC$5, _xlfn.XLOOKUP($A113,'QB_Funds Analysis raw'!$A$6:$A$104,'QB_Funds Analysis raw'!$B$6:$AC$104))))</f>
        <v>0</v>
      </c>
      <c r="J113" s="142" cm="1">
        <f t="array" ref="J113">IF(ISERROR(_xlfn.XLOOKUP(J$5,'QB_Funds Analysis raw'!$B$5:$AC$5, _xlfn.XLOOKUP($A113,'QB_Funds Analysis raw'!$A$6:$A$104,'QB_Funds Analysis raw'!$B$6:$AC$104))),0,(_xlfn.XLOOKUP(J$5,'QB_Funds Analysis raw'!$B$5:$AC$5, _xlfn.XLOOKUP($A113,'QB_Funds Analysis raw'!$A$6:$A$104,'QB_Funds Analysis raw'!$B$6:$AC$104))))</f>
        <v>0</v>
      </c>
      <c r="K113" s="252" cm="1">
        <f t="array" ref="K113">IF(ISERROR(_xlfn.XLOOKUP(K$5,'QB_Funds Analysis raw'!$B$5:$AC$5, _xlfn.XLOOKUP($A113,'QB_Funds Analysis raw'!$A$6:$A$104,'QB_Funds Analysis raw'!$B$6:$AC$104))),0,(_xlfn.XLOOKUP(K$5,'QB_Funds Analysis raw'!$B$5:$AC$5, _xlfn.XLOOKUP($A113,'QB_Funds Analysis raw'!$A$6:$A$104,'QB_Funds Analysis raw'!$B$6:$AC$104))))</f>
        <v>0</v>
      </c>
      <c r="L113" s="142" cm="1">
        <f t="array" ref="L113">IF(ISERROR(_xlfn.XLOOKUP(L$5,'QB_Funds Analysis raw'!$B$5:$AC$5, _xlfn.XLOOKUP($A113,'QB_Funds Analysis raw'!$A$6:$A$104,'QB_Funds Analysis raw'!$B$6:$AC$104))),0,(_xlfn.XLOOKUP(L$5,'QB_Funds Analysis raw'!$B$5:$AC$5, _xlfn.XLOOKUP($A113,'QB_Funds Analysis raw'!$A$6:$A$104,'QB_Funds Analysis raw'!$B$6:$AC$104))))</f>
        <v>0</v>
      </c>
      <c r="M113" s="142" cm="1">
        <f t="array" ref="M113">IF(ISERROR(_xlfn.XLOOKUP(M$5,'QB_Funds Analysis raw'!$B$5:$AC$5, _xlfn.XLOOKUP($A113,'QB_Funds Analysis raw'!$A$6:$A$104,'QB_Funds Analysis raw'!$B$6:$AC$104))),0,(_xlfn.XLOOKUP(M$5,'QB_Funds Analysis raw'!$B$5:$AC$5, _xlfn.XLOOKUP($A113,'QB_Funds Analysis raw'!$A$6:$A$104,'QB_Funds Analysis raw'!$B$6:$AC$104))))</f>
        <v>0</v>
      </c>
      <c r="N113" s="252" cm="1">
        <f t="array" ref="N113">IF(ISERROR(_xlfn.XLOOKUP(N$5,'QB_Funds Analysis raw'!$B$5:$AC$5, _xlfn.XLOOKUP($A113,'QB_Funds Analysis raw'!$A$6:$A$104,'QB_Funds Analysis raw'!$B$6:$AC$104))),0,(_xlfn.XLOOKUP(N$5,'QB_Funds Analysis raw'!$B$5:$AC$5, _xlfn.XLOOKUP($A113,'QB_Funds Analysis raw'!$A$6:$A$104,'QB_Funds Analysis raw'!$B$6:$AC$104))))</f>
        <v>0</v>
      </c>
      <c r="O113" s="252" cm="1">
        <f t="array" ref="O113">IF(ISERROR(_xlfn.XLOOKUP(O$5,'QB_Funds Analysis raw'!$B$5:$AC$5, _xlfn.XLOOKUP($A113,'QB_Funds Analysis raw'!$A$6:$A$104,'QB_Funds Analysis raw'!$B$6:$AC$104))),0,(_xlfn.XLOOKUP(O$5,'QB_Funds Analysis raw'!$B$5:$AC$5, _xlfn.XLOOKUP($A113,'QB_Funds Analysis raw'!$A$6:$A$104,'QB_Funds Analysis raw'!$B$6:$AC$104))))</f>
        <v>0</v>
      </c>
      <c r="P113" s="142" cm="1">
        <f t="array" ref="P113">IF(ISERROR(_xlfn.XLOOKUP(P$5,'QB_Funds Analysis raw'!$B$5:$AC$5, _xlfn.XLOOKUP($A113,'QB_Funds Analysis raw'!$A$6:$A$104,'QB_Funds Analysis raw'!$B$6:$AC$104))),0,(_xlfn.XLOOKUP(P$5,'QB_Funds Analysis raw'!$B$5:$AC$5, _xlfn.XLOOKUP($A113,'QB_Funds Analysis raw'!$A$6:$A$104,'QB_Funds Analysis raw'!$B$6:$AC$104))))</f>
        <v>0</v>
      </c>
      <c r="Q113" s="247" cm="1">
        <f t="array" ref="Q113">IF(ISERROR(_xlfn.XLOOKUP(Q$5,'QB_Funds Analysis raw'!$B$5:$AC$5, _xlfn.XLOOKUP($A113,'QB_Funds Analysis raw'!$A$6:$A$104,'QB_Funds Analysis raw'!$B$6:$AC$104))),0,(_xlfn.XLOOKUP(Q$5,'QB_Funds Analysis raw'!$B$5:$AC$5, _xlfn.XLOOKUP($A113,'QB_Funds Analysis raw'!$A$6:$A$104,'QB_Funds Analysis raw'!$B$6:$AC$104))))</f>
        <v>0</v>
      </c>
      <c r="R113" s="142" cm="1">
        <f t="array" ref="R113">IF(ISERROR(_xlfn.XLOOKUP(R$5,'QB_Funds Analysis raw'!$B$5:$AC$5, _xlfn.XLOOKUP($A113,'QB_Funds Analysis raw'!$A$6:$A$104,'QB_Funds Analysis raw'!$B$6:$AC$104))),0,(_xlfn.XLOOKUP(R$5,'QB_Funds Analysis raw'!$B$5:$AC$5, _xlfn.XLOOKUP($A113,'QB_Funds Analysis raw'!$A$6:$A$104,'QB_Funds Analysis raw'!$B$6:$AC$104))))</f>
        <v>0</v>
      </c>
      <c r="S113" s="142" cm="1">
        <f t="array" ref="S113">IF(ISERROR(_xlfn.XLOOKUP(S$5,'QB_Funds Analysis raw'!$B$5:$AC$5, _xlfn.XLOOKUP($A113,'QB_Funds Analysis raw'!$A$6:$A$104,'QB_Funds Analysis raw'!$B$6:$AC$104))),0,(_xlfn.XLOOKUP(S$5,'QB_Funds Analysis raw'!$B$5:$AC$5, _xlfn.XLOOKUP($A113,'QB_Funds Analysis raw'!$A$6:$A$104,'QB_Funds Analysis raw'!$B$6:$AC$104))))</f>
        <v>0</v>
      </c>
      <c r="T113" s="142" cm="1">
        <f t="array" ref="T113">IF(ISERROR(_xlfn.XLOOKUP(T$5,'QB_Funds Analysis raw'!$B$5:$AC$5, _xlfn.XLOOKUP($A113,'QB_Funds Analysis raw'!$A$6:$A$104,'QB_Funds Analysis raw'!$B$6:$AC$104))),0,(_xlfn.XLOOKUP(T$5,'QB_Funds Analysis raw'!$B$5:$AC$5, _xlfn.XLOOKUP($A113,'QB_Funds Analysis raw'!$A$6:$A$104,'QB_Funds Analysis raw'!$B$6:$AC$104))))</f>
        <v>0</v>
      </c>
      <c r="U113" s="142" cm="1">
        <f t="array" ref="U113">IF(ISERROR(_xlfn.XLOOKUP(U$5,'QB_Funds Analysis raw'!$B$5:$AC$5, _xlfn.XLOOKUP($A113,'QB_Funds Analysis raw'!$A$6:$A$104,'QB_Funds Analysis raw'!$B$6:$AC$104))),0,(_xlfn.XLOOKUP(U$5,'QB_Funds Analysis raw'!$B$5:$AC$5, _xlfn.XLOOKUP($A113,'QB_Funds Analysis raw'!$A$6:$A$104,'QB_Funds Analysis raw'!$B$6:$AC$104))))</f>
        <v>0</v>
      </c>
      <c r="V113" s="142" cm="1">
        <f t="array" ref="V113">IF(ISERROR(_xlfn.XLOOKUP(V$5,'QB_Funds Analysis raw'!$B$5:$AC$5, _xlfn.XLOOKUP($A113,'QB_Funds Analysis raw'!$A$6:$A$104,'QB_Funds Analysis raw'!$B$6:$AC$104))),0,(_xlfn.XLOOKUP(V$5,'QB_Funds Analysis raw'!$B$5:$AC$5, _xlfn.XLOOKUP($A113,'QB_Funds Analysis raw'!$A$6:$A$104,'QB_Funds Analysis raw'!$B$6:$AC$104))))</f>
        <v>0</v>
      </c>
      <c r="W113" s="142" cm="1">
        <f t="array" ref="W113">IF(ISERROR(_xlfn.XLOOKUP(W$5,'QB_Funds Analysis raw'!$B$5:$AC$5, _xlfn.XLOOKUP($A113,'QB_Funds Analysis raw'!$A$6:$A$104,'QB_Funds Analysis raw'!$B$6:$AC$104))),0,(_xlfn.XLOOKUP(W$5,'QB_Funds Analysis raw'!$B$5:$AC$5, _xlfn.XLOOKUP($A113,'QB_Funds Analysis raw'!$A$6:$A$104,'QB_Funds Analysis raw'!$B$6:$AC$104))))</f>
        <v>0</v>
      </c>
      <c r="X113" s="142" cm="1">
        <f t="array" ref="X113">IF(ISERROR(_xlfn.XLOOKUP(X$5,'QB_Funds Analysis raw'!$B$5:$AC$5, _xlfn.XLOOKUP($A113,'QB_Funds Analysis raw'!$A$6:$A$104,'QB_Funds Analysis raw'!$B$6:$AC$104))),0,(_xlfn.XLOOKUP(X$5,'QB_Funds Analysis raw'!$B$5:$AC$5, _xlfn.XLOOKUP($A113,'QB_Funds Analysis raw'!$A$6:$A$104,'QB_Funds Analysis raw'!$B$6:$AC$104))))</f>
        <v>0</v>
      </c>
      <c r="Y113" s="142" cm="1">
        <f t="array" ref="Y113">IF(ISERROR(_xlfn.XLOOKUP(Y$5,'QB_Funds Analysis raw'!$B$5:$AC$5, _xlfn.XLOOKUP($A113,'QB_Funds Analysis raw'!$A$6:$A$104,'QB_Funds Analysis raw'!$B$6:$AC$104))),0,(_xlfn.XLOOKUP(Y$5,'QB_Funds Analysis raw'!$B$5:$AC$5, _xlfn.XLOOKUP($A113,'QB_Funds Analysis raw'!$A$6:$A$104,'QB_Funds Analysis raw'!$B$6:$AC$104))))</f>
        <v>0</v>
      </c>
      <c r="Z113" s="142" cm="1">
        <f t="array" ref="Z113">IF(ISERROR(_xlfn.XLOOKUP(Z$5,'QB_Funds Analysis raw'!$B$5:$AC$5, _xlfn.XLOOKUP($A113,'QB_Funds Analysis raw'!$A$6:$A$104,'QB_Funds Analysis raw'!$B$6:$AC$104))),0,(_xlfn.XLOOKUP(Z$5,'QB_Funds Analysis raw'!$B$5:$AC$5, _xlfn.XLOOKUP($A113,'QB_Funds Analysis raw'!$A$6:$A$104,'QB_Funds Analysis raw'!$B$6:$AC$104))))</f>
        <v>0</v>
      </c>
      <c r="AA113" s="142" cm="1">
        <f t="array" ref="AA113">IF(ISERROR(_xlfn.XLOOKUP(AA$5,'QB_Funds Analysis raw'!$B$5:$AC$5, _xlfn.XLOOKUP($A113,'QB_Funds Analysis raw'!$A$6:$A$104,'QB_Funds Analysis raw'!$B$6:$AC$104))),0,(_xlfn.XLOOKUP(AA$5,'QB_Funds Analysis raw'!$B$5:$AC$5, _xlfn.XLOOKUP($A113,'QB_Funds Analysis raw'!$A$6:$A$104,'QB_Funds Analysis raw'!$B$6:$AC$104))))</f>
        <v>0</v>
      </c>
      <c r="AB113" s="142" cm="1">
        <f t="array" ref="AB113">IF(ISERROR(_xlfn.XLOOKUP(AB$5,'QB_Funds Analysis raw'!$B$5:$AC$5, _xlfn.XLOOKUP($A113,'QB_Funds Analysis raw'!$A$6:$A$104,'QB_Funds Analysis raw'!$B$6:$AC$104))),0,(_xlfn.XLOOKUP(AB$5,'QB_Funds Analysis raw'!$B$5:$AC$5, _xlfn.XLOOKUP($A113,'QB_Funds Analysis raw'!$A$6:$A$104,'QB_Funds Analysis raw'!$B$6:$AC$104))))</f>
        <v>0</v>
      </c>
      <c r="AC113" s="142" cm="1">
        <f t="array" ref="AC113">IF(ISERROR(_xlfn.XLOOKUP(AC$5,'QB_Funds Analysis raw'!$B$5:$AC$5, _xlfn.XLOOKUP($A113,'QB_Funds Analysis raw'!$A$6:$A$104,'QB_Funds Analysis raw'!$B$6:$AC$104))),0,(_xlfn.XLOOKUP(AC$5,'QB_Funds Analysis raw'!$B$5:$AC$5, _xlfn.XLOOKUP($A113,'QB_Funds Analysis raw'!$A$6:$A$104,'QB_Funds Analysis raw'!$B$6:$AC$104))))</f>
        <v>0</v>
      </c>
      <c r="AD113" s="167">
        <f t="shared" si="30"/>
        <v>0</v>
      </c>
      <c r="AE113" s="167">
        <f t="shared" si="22"/>
        <v>0</v>
      </c>
    </row>
    <row r="114" spans="1:31" ht="20.25" customHeight="1" x14ac:dyDescent="0.25">
      <c r="A114" s="73" t="s">
        <v>371</v>
      </c>
      <c r="B114" s="142" cm="1">
        <f t="array" ref="B114">IF(ISERROR(_xlfn.XLOOKUP(B$5,'QB_Funds Analysis raw'!$B$5:$AC$5, _xlfn.XLOOKUP($A114,'QB_Funds Analysis raw'!$A$6:$A$104,'QB_Funds Analysis raw'!$B$6:$AC$104))),0,(_xlfn.XLOOKUP(B$5,'QB_Funds Analysis raw'!$B$5:$AC$5, _xlfn.XLOOKUP($A114,'QB_Funds Analysis raw'!$A$6:$A$104,'QB_Funds Analysis raw'!$B$6:$AC$104))))</f>
        <v>0</v>
      </c>
      <c r="C114" s="142" cm="1">
        <f t="array" ref="C114">IF(ISERROR(_xlfn.XLOOKUP(C$5,'QB_Funds Analysis raw'!$B$5:$AC$5, _xlfn.XLOOKUP($A114,'QB_Funds Analysis raw'!$A$6:$A$104,'QB_Funds Analysis raw'!$B$6:$AC$104))),0,(_xlfn.XLOOKUP(C$5,'QB_Funds Analysis raw'!$B$5:$AC$5, _xlfn.XLOOKUP($A114,'QB_Funds Analysis raw'!$A$6:$A$104,'QB_Funds Analysis raw'!$B$6:$AC$104))))</f>
        <v>0</v>
      </c>
      <c r="D114" s="252" cm="1">
        <f t="array" ref="D114">IF(ISERROR(_xlfn.XLOOKUP(D$5,'QB_Funds Analysis raw'!$B$5:$AC$5, _xlfn.XLOOKUP($A114,'QB_Funds Analysis raw'!$A$6:$A$104,'QB_Funds Analysis raw'!$B$6:$AC$104))),0,(_xlfn.XLOOKUP(D$5,'QB_Funds Analysis raw'!$B$5:$AC$5, _xlfn.XLOOKUP($A114,'QB_Funds Analysis raw'!$A$6:$A$104,'QB_Funds Analysis raw'!$B$6:$AC$104))))</f>
        <v>0</v>
      </c>
      <c r="E114" s="142" cm="1">
        <f t="array" ref="E114">IF(ISERROR(_xlfn.XLOOKUP(E$5,'QB_Funds Analysis raw'!$B$5:$AC$5, _xlfn.XLOOKUP($A114,'QB_Funds Analysis raw'!$A$6:$A$104,'QB_Funds Analysis raw'!$B$6:$AC$104))),0,(_xlfn.XLOOKUP(E$5,'QB_Funds Analysis raw'!$B$5:$AC$5, _xlfn.XLOOKUP($A114,'QB_Funds Analysis raw'!$A$6:$A$104,'QB_Funds Analysis raw'!$B$6:$AC$104))))</f>
        <v>0</v>
      </c>
      <c r="F114" s="142" cm="1">
        <f t="array" ref="F114">IF(ISERROR(_xlfn.XLOOKUP(F$5,'QB_Funds Analysis raw'!$B$5:$AC$5, _xlfn.XLOOKUP($A114,'QB_Funds Analysis raw'!$A$6:$A$104,'QB_Funds Analysis raw'!$B$6:$AC$104))),0,(_xlfn.XLOOKUP(F$5,'QB_Funds Analysis raw'!$B$5:$AC$5, _xlfn.XLOOKUP($A114,'QB_Funds Analysis raw'!$A$6:$A$104,'QB_Funds Analysis raw'!$B$6:$AC$104))))</f>
        <v>0</v>
      </c>
      <c r="G114" s="142" cm="1">
        <f t="array" ref="G114">IF(ISERROR(_xlfn.XLOOKUP(G$5,'QB_Funds Analysis raw'!$B$5:$AC$5, _xlfn.XLOOKUP($A114,'QB_Funds Analysis raw'!$A$6:$A$104,'QB_Funds Analysis raw'!$B$6:$AC$104))),0,(_xlfn.XLOOKUP(G$5,'QB_Funds Analysis raw'!$B$5:$AC$5, _xlfn.XLOOKUP($A114,'QB_Funds Analysis raw'!$A$6:$A$104,'QB_Funds Analysis raw'!$B$6:$AC$104))))</f>
        <v>0</v>
      </c>
      <c r="H114" s="142" cm="1">
        <f t="array" ref="H114">IF(ISERROR(_xlfn.XLOOKUP(H$5,'QB_Funds Analysis raw'!$B$5:$AC$5, _xlfn.XLOOKUP($A114,'QB_Funds Analysis raw'!$A$6:$A$104,'QB_Funds Analysis raw'!$B$6:$AC$104))),0,(_xlfn.XLOOKUP(H$5,'QB_Funds Analysis raw'!$B$5:$AC$5, _xlfn.XLOOKUP($A114,'QB_Funds Analysis raw'!$A$6:$A$104,'QB_Funds Analysis raw'!$B$6:$AC$104))))</f>
        <v>0</v>
      </c>
      <c r="I114" s="142" cm="1">
        <f t="array" ref="I114">IF(ISERROR(_xlfn.XLOOKUP(I$5,'QB_Funds Analysis raw'!$B$5:$AC$5, _xlfn.XLOOKUP($A114,'QB_Funds Analysis raw'!$A$6:$A$104,'QB_Funds Analysis raw'!$B$6:$AC$104))),0,(_xlfn.XLOOKUP(I$5,'QB_Funds Analysis raw'!$B$5:$AC$5, _xlfn.XLOOKUP($A114,'QB_Funds Analysis raw'!$A$6:$A$104,'QB_Funds Analysis raw'!$B$6:$AC$104))))</f>
        <v>0</v>
      </c>
      <c r="J114" s="142" cm="1">
        <f t="array" ref="J114">IF(ISERROR(_xlfn.XLOOKUP(J$5,'QB_Funds Analysis raw'!$B$5:$AC$5, _xlfn.XLOOKUP($A114,'QB_Funds Analysis raw'!$A$6:$A$104,'QB_Funds Analysis raw'!$B$6:$AC$104))),0,(_xlfn.XLOOKUP(J$5,'QB_Funds Analysis raw'!$B$5:$AC$5, _xlfn.XLOOKUP($A114,'QB_Funds Analysis raw'!$A$6:$A$104,'QB_Funds Analysis raw'!$B$6:$AC$104))))</f>
        <v>0</v>
      </c>
      <c r="K114" s="252" cm="1">
        <f t="array" ref="K114">IF(ISERROR(_xlfn.XLOOKUP(K$5,'QB_Funds Analysis raw'!$B$5:$AC$5, _xlfn.XLOOKUP($A114,'QB_Funds Analysis raw'!$A$6:$A$104,'QB_Funds Analysis raw'!$B$6:$AC$104))),0,(_xlfn.XLOOKUP(K$5,'QB_Funds Analysis raw'!$B$5:$AC$5, _xlfn.XLOOKUP($A114,'QB_Funds Analysis raw'!$A$6:$A$104,'QB_Funds Analysis raw'!$B$6:$AC$104))))</f>
        <v>0</v>
      </c>
      <c r="L114" s="142" cm="1">
        <f t="array" ref="L114">IF(ISERROR(_xlfn.XLOOKUP(L$5,'QB_Funds Analysis raw'!$B$5:$AC$5, _xlfn.XLOOKUP($A114,'QB_Funds Analysis raw'!$A$6:$A$104,'QB_Funds Analysis raw'!$B$6:$AC$104))),0,(_xlfn.XLOOKUP(L$5,'QB_Funds Analysis raw'!$B$5:$AC$5, _xlfn.XLOOKUP($A114,'QB_Funds Analysis raw'!$A$6:$A$104,'QB_Funds Analysis raw'!$B$6:$AC$104))))</f>
        <v>0</v>
      </c>
      <c r="M114" s="142" cm="1">
        <f t="array" ref="M114">IF(ISERROR(_xlfn.XLOOKUP(M$5,'QB_Funds Analysis raw'!$B$5:$AC$5, _xlfn.XLOOKUP($A114,'QB_Funds Analysis raw'!$A$6:$A$104,'QB_Funds Analysis raw'!$B$6:$AC$104))),0,(_xlfn.XLOOKUP(M$5,'QB_Funds Analysis raw'!$B$5:$AC$5, _xlfn.XLOOKUP($A114,'QB_Funds Analysis raw'!$A$6:$A$104,'QB_Funds Analysis raw'!$B$6:$AC$104))))</f>
        <v>0</v>
      </c>
      <c r="N114" s="252" cm="1">
        <f t="array" ref="N114">IF(ISERROR(_xlfn.XLOOKUP(N$5,'QB_Funds Analysis raw'!$B$5:$AC$5, _xlfn.XLOOKUP($A114,'QB_Funds Analysis raw'!$A$6:$A$104,'QB_Funds Analysis raw'!$B$6:$AC$104))),0,(_xlfn.XLOOKUP(N$5,'QB_Funds Analysis raw'!$B$5:$AC$5, _xlfn.XLOOKUP($A114,'QB_Funds Analysis raw'!$A$6:$A$104,'QB_Funds Analysis raw'!$B$6:$AC$104))))</f>
        <v>0</v>
      </c>
      <c r="O114" s="252" cm="1">
        <f t="array" ref="O114">IF(ISERROR(_xlfn.XLOOKUP(O$5,'QB_Funds Analysis raw'!$B$5:$AC$5, _xlfn.XLOOKUP($A114,'QB_Funds Analysis raw'!$A$6:$A$104,'QB_Funds Analysis raw'!$B$6:$AC$104))),0,(_xlfn.XLOOKUP(O$5,'QB_Funds Analysis raw'!$B$5:$AC$5, _xlfn.XLOOKUP($A114,'QB_Funds Analysis raw'!$A$6:$A$104,'QB_Funds Analysis raw'!$B$6:$AC$104))))</f>
        <v>0</v>
      </c>
      <c r="P114" s="142" cm="1">
        <f t="array" ref="P114">IF(ISERROR(_xlfn.XLOOKUP(P$5,'QB_Funds Analysis raw'!$B$5:$AC$5, _xlfn.XLOOKUP($A114,'QB_Funds Analysis raw'!$A$6:$A$104,'QB_Funds Analysis raw'!$B$6:$AC$104))),0,(_xlfn.XLOOKUP(P$5,'QB_Funds Analysis raw'!$B$5:$AC$5, _xlfn.XLOOKUP($A114,'QB_Funds Analysis raw'!$A$6:$A$104,'QB_Funds Analysis raw'!$B$6:$AC$104))))</f>
        <v>0</v>
      </c>
      <c r="Q114" s="247" cm="1">
        <f t="array" ref="Q114">IF(ISERROR(_xlfn.XLOOKUP(Q$5,'QB_Funds Analysis raw'!$B$5:$AC$5, _xlfn.XLOOKUP($A114,'QB_Funds Analysis raw'!$A$6:$A$104,'QB_Funds Analysis raw'!$B$6:$AC$104))),0,(_xlfn.XLOOKUP(Q$5,'QB_Funds Analysis raw'!$B$5:$AC$5, _xlfn.XLOOKUP($A114,'QB_Funds Analysis raw'!$A$6:$A$104,'QB_Funds Analysis raw'!$B$6:$AC$104))))</f>
        <v>0</v>
      </c>
      <c r="R114" s="142" cm="1">
        <f t="array" ref="R114">IF(ISERROR(_xlfn.XLOOKUP(R$5,'QB_Funds Analysis raw'!$B$5:$AC$5, _xlfn.XLOOKUP($A114,'QB_Funds Analysis raw'!$A$6:$A$104,'QB_Funds Analysis raw'!$B$6:$AC$104))),0,(_xlfn.XLOOKUP(R$5,'QB_Funds Analysis raw'!$B$5:$AC$5, _xlfn.XLOOKUP($A114,'QB_Funds Analysis raw'!$A$6:$A$104,'QB_Funds Analysis raw'!$B$6:$AC$104))))</f>
        <v>0</v>
      </c>
      <c r="S114" s="142" cm="1">
        <f t="array" ref="S114">IF(ISERROR(_xlfn.XLOOKUP(S$5,'QB_Funds Analysis raw'!$B$5:$AC$5, _xlfn.XLOOKUP($A114,'QB_Funds Analysis raw'!$A$6:$A$104,'QB_Funds Analysis raw'!$B$6:$AC$104))),0,(_xlfn.XLOOKUP(S$5,'QB_Funds Analysis raw'!$B$5:$AC$5, _xlfn.XLOOKUP($A114,'QB_Funds Analysis raw'!$A$6:$A$104,'QB_Funds Analysis raw'!$B$6:$AC$104))))</f>
        <v>0</v>
      </c>
      <c r="T114" s="142" cm="1">
        <f t="array" ref="T114">IF(ISERROR(_xlfn.XLOOKUP(T$5,'QB_Funds Analysis raw'!$B$5:$AC$5, _xlfn.XLOOKUP($A114,'QB_Funds Analysis raw'!$A$6:$A$104,'QB_Funds Analysis raw'!$B$6:$AC$104))),0,(_xlfn.XLOOKUP(T$5,'QB_Funds Analysis raw'!$B$5:$AC$5, _xlfn.XLOOKUP($A114,'QB_Funds Analysis raw'!$A$6:$A$104,'QB_Funds Analysis raw'!$B$6:$AC$104))))</f>
        <v>0</v>
      </c>
      <c r="U114" s="142" cm="1">
        <f t="array" ref="U114">IF(ISERROR(_xlfn.XLOOKUP(U$5,'QB_Funds Analysis raw'!$B$5:$AC$5, _xlfn.XLOOKUP($A114,'QB_Funds Analysis raw'!$A$6:$A$104,'QB_Funds Analysis raw'!$B$6:$AC$104))),0,(_xlfn.XLOOKUP(U$5,'QB_Funds Analysis raw'!$B$5:$AC$5, _xlfn.XLOOKUP($A114,'QB_Funds Analysis raw'!$A$6:$A$104,'QB_Funds Analysis raw'!$B$6:$AC$104))))</f>
        <v>0</v>
      </c>
      <c r="V114" s="142" cm="1">
        <f t="array" ref="V114">IF(ISERROR(_xlfn.XLOOKUP(V$5,'QB_Funds Analysis raw'!$B$5:$AC$5, _xlfn.XLOOKUP($A114,'QB_Funds Analysis raw'!$A$6:$A$104,'QB_Funds Analysis raw'!$B$6:$AC$104))),0,(_xlfn.XLOOKUP(V$5,'QB_Funds Analysis raw'!$B$5:$AC$5, _xlfn.XLOOKUP($A114,'QB_Funds Analysis raw'!$A$6:$A$104,'QB_Funds Analysis raw'!$B$6:$AC$104))))</f>
        <v>0</v>
      </c>
      <c r="W114" s="142" cm="1">
        <f t="array" ref="W114">IF(ISERROR(_xlfn.XLOOKUP(W$5,'QB_Funds Analysis raw'!$B$5:$AC$5, _xlfn.XLOOKUP($A114,'QB_Funds Analysis raw'!$A$6:$A$104,'QB_Funds Analysis raw'!$B$6:$AC$104))),0,(_xlfn.XLOOKUP(W$5,'QB_Funds Analysis raw'!$B$5:$AC$5, _xlfn.XLOOKUP($A114,'QB_Funds Analysis raw'!$A$6:$A$104,'QB_Funds Analysis raw'!$B$6:$AC$104))))</f>
        <v>0</v>
      </c>
      <c r="X114" s="142" cm="1">
        <f t="array" ref="X114">IF(ISERROR(_xlfn.XLOOKUP(X$5,'QB_Funds Analysis raw'!$B$5:$AC$5, _xlfn.XLOOKUP($A114,'QB_Funds Analysis raw'!$A$6:$A$104,'QB_Funds Analysis raw'!$B$6:$AC$104))),0,(_xlfn.XLOOKUP(X$5,'QB_Funds Analysis raw'!$B$5:$AC$5, _xlfn.XLOOKUP($A114,'QB_Funds Analysis raw'!$A$6:$A$104,'QB_Funds Analysis raw'!$B$6:$AC$104))))</f>
        <v>0</v>
      </c>
      <c r="Y114" s="142" cm="1">
        <f t="array" ref="Y114">IF(ISERROR(_xlfn.XLOOKUP(Y$5,'QB_Funds Analysis raw'!$B$5:$AC$5, _xlfn.XLOOKUP($A114,'QB_Funds Analysis raw'!$A$6:$A$104,'QB_Funds Analysis raw'!$B$6:$AC$104))),0,(_xlfn.XLOOKUP(Y$5,'QB_Funds Analysis raw'!$B$5:$AC$5, _xlfn.XLOOKUP($A114,'QB_Funds Analysis raw'!$A$6:$A$104,'QB_Funds Analysis raw'!$B$6:$AC$104))))</f>
        <v>0</v>
      </c>
      <c r="Z114" s="142" cm="1">
        <f t="array" ref="Z114">IF(ISERROR(_xlfn.XLOOKUP(Z$5,'QB_Funds Analysis raw'!$B$5:$AC$5, _xlfn.XLOOKUP($A114,'QB_Funds Analysis raw'!$A$6:$A$104,'QB_Funds Analysis raw'!$B$6:$AC$104))),0,(_xlfn.XLOOKUP(Z$5,'QB_Funds Analysis raw'!$B$5:$AC$5, _xlfn.XLOOKUP($A114,'QB_Funds Analysis raw'!$A$6:$A$104,'QB_Funds Analysis raw'!$B$6:$AC$104))))</f>
        <v>0</v>
      </c>
      <c r="AA114" s="142" cm="1">
        <f t="array" ref="AA114">IF(ISERROR(_xlfn.XLOOKUP(AA$5,'QB_Funds Analysis raw'!$B$5:$AC$5, _xlfn.XLOOKUP($A114,'QB_Funds Analysis raw'!$A$6:$A$104,'QB_Funds Analysis raw'!$B$6:$AC$104))),0,(_xlfn.XLOOKUP(AA$5,'QB_Funds Analysis raw'!$B$5:$AC$5, _xlfn.XLOOKUP($A114,'QB_Funds Analysis raw'!$A$6:$A$104,'QB_Funds Analysis raw'!$B$6:$AC$104))))</f>
        <v>0</v>
      </c>
      <c r="AB114" s="142" cm="1">
        <f t="array" ref="AB114">IF(ISERROR(_xlfn.XLOOKUP(AB$5,'QB_Funds Analysis raw'!$B$5:$AC$5, _xlfn.XLOOKUP($A114,'QB_Funds Analysis raw'!$A$6:$A$104,'QB_Funds Analysis raw'!$B$6:$AC$104))),0,(_xlfn.XLOOKUP(AB$5,'QB_Funds Analysis raw'!$B$5:$AC$5, _xlfn.XLOOKUP($A114,'QB_Funds Analysis raw'!$A$6:$A$104,'QB_Funds Analysis raw'!$B$6:$AC$104))))</f>
        <v>0</v>
      </c>
      <c r="AC114" s="142" cm="1">
        <f t="array" ref="AC114">IF(ISERROR(_xlfn.XLOOKUP(AC$5,'QB_Funds Analysis raw'!$B$5:$AC$5, _xlfn.XLOOKUP($A114,'QB_Funds Analysis raw'!$A$6:$A$104,'QB_Funds Analysis raw'!$B$6:$AC$104))),0,(_xlfn.XLOOKUP(AC$5,'QB_Funds Analysis raw'!$B$5:$AC$5, _xlfn.XLOOKUP($A114,'QB_Funds Analysis raw'!$A$6:$A$104,'QB_Funds Analysis raw'!$B$6:$AC$104))))</f>
        <v>0</v>
      </c>
      <c r="AD114" s="167">
        <f t="shared" si="30"/>
        <v>0</v>
      </c>
      <c r="AE114" s="167">
        <f t="shared" si="22"/>
        <v>0</v>
      </c>
    </row>
    <row r="115" spans="1:31" ht="20.25" customHeight="1" x14ac:dyDescent="0.25">
      <c r="A115" s="73" t="s">
        <v>372</v>
      </c>
      <c r="B115" s="142" cm="1">
        <f t="array" ref="B115">IF(ISERROR(_xlfn.XLOOKUP(B$5,'QB_Funds Analysis raw'!$B$5:$AC$5, _xlfn.XLOOKUP($A115,'QB_Funds Analysis raw'!$A$6:$A$104,'QB_Funds Analysis raw'!$B$6:$AC$104))),0,(_xlfn.XLOOKUP(B$5,'QB_Funds Analysis raw'!$B$5:$AC$5, _xlfn.XLOOKUP($A115,'QB_Funds Analysis raw'!$A$6:$A$104,'QB_Funds Analysis raw'!$B$6:$AC$104))))</f>
        <v>0</v>
      </c>
      <c r="C115" s="142" cm="1">
        <f t="array" ref="C115">IF(ISERROR(_xlfn.XLOOKUP(C$5,'QB_Funds Analysis raw'!$B$5:$AC$5, _xlfn.XLOOKUP($A115,'QB_Funds Analysis raw'!$A$6:$A$104,'QB_Funds Analysis raw'!$B$6:$AC$104))),0,(_xlfn.XLOOKUP(C$5,'QB_Funds Analysis raw'!$B$5:$AC$5, _xlfn.XLOOKUP($A115,'QB_Funds Analysis raw'!$A$6:$A$104,'QB_Funds Analysis raw'!$B$6:$AC$104))))</f>
        <v>0</v>
      </c>
      <c r="D115" s="252" cm="1">
        <f t="array" ref="D115">IF(ISERROR(_xlfn.XLOOKUP(D$5,'QB_Funds Analysis raw'!$B$5:$AC$5, _xlfn.XLOOKUP($A115,'QB_Funds Analysis raw'!$A$6:$A$104,'QB_Funds Analysis raw'!$B$6:$AC$104))),0,(_xlfn.XLOOKUP(D$5,'QB_Funds Analysis raw'!$B$5:$AC$5, _xlfn.XLOOKUP($A115,'QB_Funds Analysis raw'!$A$6:$A$104,'QB_Funds Analysis raw'!$B$6:$AC$104))))</f>
        <v>0</v>
      </c>
      <c r="E115" s="142" cm="1">
        <f t="array" ref="E115">IF(ISERROR(_xlfn.XLOOKUP(E$5,'QB_Funds Analysis raw'!$B$5:$AC$5, _xlfn.XLOOKUP($A115,'QB_Funds Analysis raw'!$A$6:$A$104,'QB_Funds Analysis raw'!$B$6:$AC$104))),0,(_xlfn.XLOOKUP(E$5,'QB_Funds Analysis raw'!$B$5:$AC$5, _xlfn.XLOOKUP($A115,'QB_Funds Analysis raw'!$A$6:$A$104,'QB_Funds Analysis raw'!$B$6:$AC$104))))</f>
        <v>0</v>
      </c>
      <c r="F115" s="142" cm="1">
        <f t="array" ref="F115">IF(ISERROR(_xlfn.XLOOKUP(F$5,'QB_Funds Analysis raw'!$B$5:$AC$5, _xlfn.XLOOKUP($A115,'QB_Funds Analysis raw'!$A$6:$A$104,'QB_Funds Analysis raw'!$B$6:$AC$104))),0,(_xlfn.XLOOKUP(F$5,'QB_Funds Analysis raw'!$B$5:$AC$5, _xlfn.XLOOKUP($A115,'QB_Funds Analysis raw'!$A$6:$A$104,'QB_Funds Analysis raw'!$B$6:$AC$104))))</f>
        <v>0</v>
      </c>
      <c r="G115" s="142" cm="1">
        <f t="array" ref="G115">IF(ISERROR(_xlfn.XLOOKUP(G$5,'QB_Funds Analysis raw'!$B$5:$AC$5, _xlfn.XLOOKUP($A115,'QB_Funds Analysis raw'!$A$6:$A$104,'QB_Funds Analysis raw'!$B$6:$AC$104))),0,(_xlfn.XLOOKUP(G$5,'QB_Funds Analysis raw'!$B$5:$AC$5, _xlfn.XLOOKUP($A115,'QB_Funds Analysis raw'!$A$6:$A$104,'QB_Funds Analysis raw'!$B$6:$AC$104))))</f>
        <v>0</v>
      </c>
      <c r="H115" s="142" cm="1">
        <f t="array" ref="H115">IF(ISERROR(_xlfn.XLOOKUP(H$5,'QB_Funds Analysis raw'!$B$5:$AC$5, _xlfn.XLOOKUP($A115,'QB_Funds Analysis raw'!$A$6:$A$104,'QB_Funds Analysis raw'!$B$6:$AC$104))),0,(_xlfn.XLOOKUP(H$5,'QB_Funds Analysis raw'!$B$5:$AC$5, _xlfn.XLOOKUP($A115,'QB_Funds Analysis raw'!$A$6:$A$104,'QB_Funds Analysis raw'!$B$6:$AC$104))))</f>
        <v>0</v>
      </c>
      <c r="I115" s="142" cm="1">
        <f t="array" ref="I115">IF(ISERROR(_xlfn.XLOOKUP(I$5,'QB_Funds Analysis raw'!$B$5:$AC$5, _xlfn.XLOOKUP($A115,'QB_Funds Analysis raw'!$A$6:$A$104,'QB_Funds Analysis raw'!$B$6:$AC$104))),0,(_xlfn.XLOOKUP(I$5,'QB_Funds Analysis raw'!$B$5:$AC$5, _xlfn.XLOOKUP($A115,'QB_Funds Analysis raw'!$A$6:$A$104,'QB_Funds Analysis raw'!$B$6:$AC$104))))</f>
        <v>0</v>
      </c>
      <c r="J115" s="142" cm="1">
        <f t="array" ref="J115">IF(ISERROR(_xlfn.XLOOKUP(J$5,'QB_Funds Analysis raw'!$B$5:$AC$5, _xlfn.XLOOKUP($A115,'QB_Funds Analysis raw'!$A$6:$A$104,'QB_Funds Analysis raw'!$B$6:$AC$104))),0,(_xlfn.XLOOKUP(J$5,'QB_Funds Analysis raw'!$B$5:$AC$5, _xlfn.XLOOKUP($A115,'QB_Funds Analysis raw'!$A$6:$A$104,'QB_Funds Analysis raw'!$B$6:$AC$104))))</f>
        <v>0</v>
      </c>
      <c r="K115" s="252" cm="1">
        <f t="array" ref="K115">IF(ISERROR(_xlfn.XLOOKUP(K$5,'QB_Funds Analysis raw'!$B$5:$AC$5, _xlfn.XLOOKUP($A115,'QB_Funds Analysis raw'!$A$6:$A$104,'QB_Funds Analysis raw'!$B$6:$AC$104))),0,(_xlfn.XLOOKUP(K$5,'QB_Funds Analysis raw'!$B$5:$AC$5, _xlfn.XLOOKUP($A115,'QB_Funds Analysis raw'!$A$6:$A$104,'QB_Funds Analysis raw'!$B$6:$AC$104))))</f>
        <v>0</v>
      </c>
      <c r="L115" s="142" cm="1">
        <f t="array" ref="L115">IF(ISERROR(_xlfn.XLOOKUP(L$5,'QB_Funds Analysis raw'!$B$5:$AC$5, _xlfn.XLOOKUP($A115,'QB_Funds Analysis raw'!$A$6:$A$104,'QB_Funds Analysis raw'!$B$6:$AC$104))),0,(_xlfn.XLOOKUP(L$5,'QB_Funds Analysis raw'!$B$5:$AC$5, _xlfn.XLOOKUP($A115,'QB_Funds Analysis raw'!$A$6:$A$104,'QB_Funds Analysis raw'!$B$6:$AC$104))))</f>
        <v>0</v>
      </c>
      <c r="M115" s="142" cm="1">
        <f t="array" ref="M115">IF(ISERROR(_xlfn.XLOOKUP(M$5,'QB_Funds Analysis raw'!$B$5:$AC$5, _xlfn.XLOOKUP($A115,'QB_Funds Analysis raw'!$A$6:$A$104,'QB_Funds Analysis raw'!$B$6:$AC$104))),0,(_xlfn.XLOOKUP(M$5,'QB_Funds Analysis raw'!$B$5:$AC$5, _xlfn.XLOOKUP($A115,'QB_Funds Analysis raw'!$A$6:$A$104,'QB_Funds Analysis raw'!$B$6:$AC$104))))</f>
        <v>0</v>
      </c>
      <c r="N115" s="252" cm="1">
        <f t="array" ref="N115">IF(ISERROR(_xlfn.XLOOKUP(N$5,'QB_Funds Analysis raw'!$B$5:$AC$5, _xlfn.XLOOKUP($A115,'QB_Funds Analysis raw'!$A$6:$A$104,'QB_Funds Analysis raw'!$B$6:$AC$104))),0,(_xlfn.XLOOKUP(N$5,'QB_Funds Analysis raw'!$B$5:$AC$5, _xlfn.XLOOKUP($A115,'QB_Funds Analysis raw'!$A$6:$A$104,'QB_Funds Analysis raw'!$B$6:$AC$104))))</f>
        <v>0</v>
      </c>
      <c r="O115" s="252" cm="1">
        <f t="array" ref="O115">IF(ISERROR(_xlfn.XLOOKUP(O$5,'QB_Funds Analysis raw'!$B$5:$AC$5, _xlfn.XLOOKUP($A115,'QB_Funds Analysis raw'!$A$6:$A$104,'QB_Funds Analysis raw'!$B$6:$AC$104))),0,(_xlfn.XLOOKUP(O$5,'QB_Funds Analysis raw'!$B$5:$AC$5, _xlfn.XLOOKUP($A115,'QB_Funds Analysis raw'!$A$6:$A$104,'QB_Funds Analysis raw'!$B$6:$AC$104))))</f>
        <v>0</v>
      </c>
      <c r="P115" s="142" cm="1">
        <f t="array" ref="P115">IF(ISERROR(_xlfn.XLOOKUP(P$5,'QB_Funds Analysis raw'!$B$5:$AC$5, _xlfn.XLOOKUP($A115,'QB_Funds Analysis raw'!$A$6:$A$104,'QB_Funds Analysis raw'!$B$6:$AC$104))),0,(_xlfn.XLOOKUP(P$5,'QB_Funds Analysis raw'!$B$5:$AC$5, _xlfn.XLOOKUP($A115,'QB_Funds Analysis raw'!$A$6:$A$104,'QB_Funds Analysis raw'!$B$6:$AC$104))))</f>
        <v>0</v>
      </c>
      <c r="Q115" s="247" cm="1">
        <f t="array" ref="Q115">IF(ISERROR(_xlfn.XLOOKUP(Q$5,'QB_Funds Analysis raw'!$B$5:$AC$5, _xlfn.XLOOKUP($A115,'QB_Funds Analysis raw'!$A$6:$A$104,'QB_Funds Analysis raw'!$B$6:$AC$104))),0,(_xlfn.XLOOKUP(Q$5,'QB_Funds Analysis raw'!$B$5:$AC$5, _xlfn.XLOOKUP($A115,'QB_Funds Analysis raw'!$A$6:$A$104,'QB_Funds Analysis raw'!$B$6:$AC$104))))</f>
        <v>0</v>
      </c>
      <c r="R115" s="142" cm="1">
        <f t="array" ref="R115">IF(ISERROR(_xlfn.XLOOKUP(R$5,'QB_Funds Analysis raw'!$B$5:$AC$5, _xlfn.XLOOKUP($A115,'QB_Funds Analysis raw'!$A$6:$A$104,'QB_Funds Analysis raw'!$B$6:$AC$104))),0,(_xlfn.XLOOKUP(R$5,'QB_Funds Analysis raw'!$B$5:$AC$5, _xlfn.XLOOKUP($A115,'QB_Funds Analysis raw'!$A$6:$A$104,'QB_Funds Analysis raw'!$B$6:$AC$104))))</f>
        <v>0</v>
      </c>
      <c r="S115" s="142" cm="1">
        <f t="array" ref="S115">IF(ISERROR(_xlfn.XLOOKUP(S$5,'QB_Funds Analysis raw'!$B$5:$AC$5, _xlfn.XLOOKUP($A115,'QB_Funds Analysis raw'!$A$6:$A$104,'QB_Funds Analysis raw'!$B$6:$AC$104))),0,(_xlfn.XLOOKUP(S$5,'QB_Funds Analysis raw'!$B$5:$AC$5, _xlfn.XLOOKUP($A115,'QB_Funds Analysis raw'!$A$6:$A$104,'QB_Funds Analysis raw'!$B$6:$AC$104))))</f>
        <v>0</v>
      </c>
      <c r="T115" s="142" cm="1">
        <f t="array" ref="T115">IF(ISERROR(_xlfn.XLOOKUP(T$5,'QB_Funds Analysis raw'!$B$5:$AC$5, _xlfn.XLOOKUP($A115,'QB_Funds Analysis raw'!$A$6:$A$104,'QB_Funds Analysis raw'!$B$6:$AC$104))),0,(_xlfn.XLOOKUP(T$5,'QB_Funds Analysis raw'!$B$5:$AC$5, _xlfn.XLOOKUP($A115,'QB_Funds Analysis raw'!$A$6:$A$104,'QB_Funds Analysis raw'!$B$6:$AC$104))))</f>
        <v>0</v>
      </c>
      <c r="U115" s="142" cm="1">
        <f t="array" ref="U115">IF(ISERROR(_xlfn.XLOOKUP(U$5,'QB_Funds Analysis raw'!$B$5:$AC$5, _xlfn.XLOOKUP($A115,'QB_Funds Analysis raw'!$A$6:$A$104,'QB_Funds Analysis raw'!$B$6:$AC$104))),0,(_xlfn.XLOOKUP(U$5,'QB_Funds Analysis raw'!$B$5:$AC$5, _xlfn.XLOOKUP($A115,'QB_Funds Analysis raw'!$A$6:$A$104,'QB_Funds Analysis raw'!$B$6:$AC$104))))</f>
        <v>0</v>
      </c>
      <c r="V115" s="142" cm="1">
        <f t="array" ref="V115">IF(ISERROR(_xlfn.XLOOKUP(V$5,'QB_Funds Analysis raw'!$B$5:$AC$5, _xlfn.XLOOKUP($A115,'QB_Funds Analysis raw'!$A$6:$A$104,'QB_Funds Analysis raw'!$B$6:$AC$104))),0,(_xlfn.XLOOKUP(V$5,'QB_Funds Analysis raw'!$B$5:$AC$5, _xlfn.XLOOKUP($A115,'QB_Funds Analysis raw'!$A$6:$A$104,'QB_Funds Analysis raw'!$B$6:$AC$104))))</f>
        <v>0</v>
      </c>
      <c r="W115" s="142" cm="1">
        <f t="array" ref="W115">IF(ISERROR(_xlfn.XLOOKUP(W$5,'QB_Funds Analysis raw'!$B$5:$AC$5, _xlfn.XLOOKUP($A115,'QB_Funds Analysis raw'!$A$6:$A$104,'QB_Funds Analysis raw'!$B$6:$AC$104))),0,(_xlfn.XLOOKUP(W$5,'QB_Funds Analysis raw'!$B$5:$AC$5, _xlfn.XLOOKUP($A115,'QB_Funds Analysis raw'!$A$6:$A$104,'QB_Funds Analysis raw'!$B$6:$AC$104))))</f>
        <v>0</v>
      </c>
      <c r="X115" s="142" cm="1">
        <f t="array" ref="X115">IF(ISERROR(_xlfn.XLOOKUP(X$5,'QB_Funds Analysis raw'!$B$5:$AC$5, _xlfn.XLOOKUP($A115,'QB_Funds Analysis raw'!$A$6:$A$104,'QB_Funds Analysis raw'!$B$6:$AC$104))),0,(_xlfn.XLOOKUP(X$5,'QB_Funds Analysis raw'!$B$5:$AC$5, _xlfn.XLOOKUP($A115,'QB_Funds Analysis raw'!$A$6:$A$104,'QB_Funds Analysis raw'!$B$6:$AC$104))))</f>
        <v>0</v>
      </c>
      <c r="Y115" s="142" cm="1">
        <f t="array" ref="Y115">IF(ISERROR(_xlfn.XLOOKUP(Y$5,'QB_Funds Analysis raw'!$B$5:$AC$5, _xlfn.XLOOKUP($A115,'QB_Funds Analysis raw'!$A$6:$A$104,'QB_Funds Analysis raw'!$B$6:$AC$104))),0,(_xlfn.XLOOKUP(Y$5,'QB_Funds Analysis raw'!$B$5:$AC$5, _xlfn.XLOOKUP($A115,'QB_Funds Analysis raw'!$A$6:$A$104,'QB_Funds Analysis raw'!$B$6:$AC$104))))</f>
        <v>0</v>
      </c>
      <c r="Z115" s="142" cm="1">
        <f t="array" ref="Z115">IF(ISERROR(_xlfn.XLOOKUP(Z$5,'QB_Funds Analysis raw'!$B$5:$AC$5, _xlfn.XLOOKUP($A115,'QB_Funds Analysis raw'!$A$6:$A$104,'QB_Funds Analysis raw'!$B$6:$AC$104))),0,(_xlfn.XLOOKUP(Z$5,'QB_Funds Analysis raw'!$B$5:$AC$5, _xlfn.XLOOKUP($A115,'QB_Funds Analysis raw'!$A$6:$A$104,'QB_Funds Analysis raw'!$B$6:$AC$104))))</f>
        <v>0</v>
      </c>
      <c r="AA115" s="142" cm="1">
        <f t="array" ref="AA115">IF(ISERROR(_xlfn.XLOOKUP(AA$5,'QB_Funds Analysis raw'!$B$5:$AC$5, _xlfn.XLOOKUP($A115,'QB_Funds Analysis raw'!$A$6:$A$104,'QB_Funds Analysis raw'!$B$6:$AC$104))),0,(_xlfn.XLOOKUP(AA$5,'QB_Funds Analysis raw'!$B$5:$AC$5, _xlfn.XLOOKUP($A115,'QB_Funds Analysis raw'!$A$6:$A$104,'QB_Funds Analysis raw'!$B$6:$AC$104))))</f>
        <v>0</v>
      </c>
      <c r="AB115" s="142" cm="1">
        <f t="array" ref="AB115">IF(ISERROR(_xlfn.XLOOKUP(AB$5,'QB_Funds Analysis raw'!$B$5:$AC$5, _xlfn.XLOOKUP($A115,'QB_Funds Analysis raw'!$A$6:$A$104,'QB_Funds Analysis raw'!$B$6:$AC$104))),0,(_xlfn.XLOOKUP(AB$5,'QB_Funds Analysis raw'!$B$5:$AC$5, _xlfn.XLOOKUP($A115,'QB_Funds Analysis raw'!$A$6:$A$104,'QB_Funds Analysis raw'!$B$6:$AC$104))))</f>
        <v>0</v>
      </c>
      <c r="AC115" s="142" cm="1">
        <f t="array" ref="AC115">IF(ISERROR(_xlfn.XLOOKUP(AC$5,'QB_Funds Analysis raw'!$B$5:$AC$5, _xlfn.XLOOKUP($A115,'QB_Funds Analysis raw'!$A$6:$A$104,'QB_Funds Analysis raw'!$B$6:$AC$104))),0,(_xlfn.XLOOKUP(AC$5,'QB_Funds Analysis raw'!$B$5:$AC$5, _xlfn.XLOOKUP($A115,'QB_Funds Analysis raw'!$A$6:$A$104,'QB_Funds Analysis raw'!$B$6:$AC$104))))</f>
        <v>0</v>
      </c>
      <c r="AD115" s="167">
        <f t="shared" si="30"/>
        <v>0</v>
      </c>
      <c r="AE115" s="167">
        <f t="shared" si="22"/>
        <v>0</v>
      </c>
    </row>
    <row r="116" spans="1:31" ht="20.25" customHeight="1" x14ac:dyDescent="0.25">
      <c r="A116" s="73" t="s">
        <v>373</v>
      </c>
      <c r="B116" s="142" cm="1">
        <f t="array" ref="B116">IF(ISERROR(_xlfn.XLOOKUP(B$5,'QB_Funds Analysis raw'!$B$5:$AC$5, _xlfn.XLOOKUP($A116,'QB_Funds Analysis raw'!$A$6:$A$104,'QB_Funds Analysis raw'!$B$6:$AC$104))),0,(_xlfn.XLOOKUP(B$5,'QB_Funds Analysis raw'!$B$5:$AC$5, _xlfn.XLOOKUP($A116,'QB_Funds Analysis raw'!$A$6:$A$104,'QB_Funds Analysis raw'!$B$6:$AC$104))))</f>
        <v>0</v>
      </c>
      <c r="C116" s="142" cm="1">
        <f t="array" ref="C116">IF(ISERROR(_xlfn.XLOOKUP(C$5,'QB_Funds Analysis raw'!$B$5:$AC$5, _xlfn.XLOOKUP($A116,'QB_Funds Analysis raw'!$A$6:$A$104,'QB_Funds Analysis raw'!$B$6:$AC$104))),0,(_xlfn.XLOOKUP(C$5,'QB_Funds Analysis raw'!$B$5:$AC$5, _xlfn.XLOOKUP($A116,'QB_Funds Analysis raw'!$A$6:$A$104,'QB_Funds Analysis raw'!$B$6:$AC$104))))</f>
        <v>0</v>
      </c>
      <c r="D116" s="252" cm="1">
        <f t="array" ref="D116">IF(ISERROR(_xlfn.XLOOKUP(D$5,'QB_Funds Analysis raw'!$B$5:$AC$5, _xlfn.XLOOKUP($A116,'QB_Funds Analysis raw'!$A$6:$A$104,'QB_Funds Analysis raw'!$B$6:$AC$104))),0,(_xlfn.XLOOKUP(D$5,'QB_Funds Analysis raw'!$B$5:$AC$5, _xlfn.XLOOKUP($A116,'QB_Funds Analysis raw'!$A$6:$A$104,'QB_Funds Analysis raw'!$B$6:$AC$104))))</f>
        <v>0</v>
      </c>
      <c r="E116" s="142" cm="1">
        <f t="array" ref="E116">IF(ISERROR(_xlfn.XLOOKUP(E$5,'QB_Funds Analysis raw'!$B$5:$AC$5, _xlfn.XLOOKUP($A116,'QB_Funds Analysis raw'!$A$6:$A$104,'QB_Funds Analysis raw'!$B$6:$AC$104))),0,(_xlfn.XLOOKUP(E$5,'QB_Funds Analysis raw'!$B$5:$AC$5, _xlfn.XLOOKUP($A116,'QB_Funds Analysis raw'!$A$6:$A$104,'QB_Funds Analysis raw'!$B$6:$AC$104))))</f>
        <v>0</v>
      </c>
      <c r="F116" s="142" cm="1">
        <f t="array" ref="F116">IF(ISERROR(_xlfn.XLOOKUP(F$5,'QB_Funds Analysis raw'!$B$5:$AC$5, _xlfn.XLOOKUP($A116,'QB_Funds Analysis raw'!$A$6:$A$104,'QB_Funds Analysis raw'!$B$6:$AC$104))),0,(_xlfn.XLOOKUP(F$5,'QB_Funds Analysis raw'!$B$5:$AC$5, _xlfn.XLOOKUP($A116,'QB_Funds Analysis raw'!$A$6:$A$104,'QB_Funds Analysis raw'!$B$6:$AC$104))))</f>
        <v>0</v>
      </c>
      <c r="G116" s="142" cm="1">
        <f t="array" ref="G116">IF(ISERROR(_xlfn.XLOOKUP(G$5,'QB_Funds Analysis raw'!$B$5:$AC$5, _xlfn.XLOOKUP($A116,'QB_Funds Analysis raw'!$A$6:$A$104,'QB_Funds Analysis raw'!$B$6:$AC$104))),0,(_xlfn.XLOOKUP(G$5,'QB_Funds Analysis raw'!$B$5:$AC$5, _xlfn.XLOOKUP($A116,'QB_Funds Analysis raw'!$A$6:$A$104,'QB_Funds Analysis raw'!$B$6:$AC$104))))</f>
        <v>0</v>
      </c>
      <c r="H116" s="142" cm="1">
        <f t="array" ref="H116">IF(ISERROR(_xlfn.XLOOKUP(H$5,'QB_Funds Analysis raw'!$B$5:$AC$5, _xlfn.XLOOKUP($A116,'QB_Funds Analysis raw'!$A$6:$A$104,'QB_Funds Analysis raw'!$B$6:$AC$104))),0,(_xlfn.XLOOKUP(H$5,'QB_Funds Analysis raw'!$B$5:$AC$5, _xlfn.XLOOKUP($A116,'QB_Funds Analysis raw'!$A$6:$A$104,'QB_Funds Analysis raw'!$B$6:$AC$104))))</f>
        <v>0</v>
      </c>
      <c r="I116" s="142" cm="1">
        <f t="array" ref="I116">IF(ISERROR(_xlfn.XLOOKUP(I$5,'QB_Funds Analysis raw'!$B$5:$AC$5, _xlfn.XLOOKUP($A116,'QB_Funds Analysis raw'!$A$6:$A$104,'QB_Funds Analysis raw'!$B$6:$AC$104))),0,(_xlfn.XLOOKUP(I$5,'QB_Funds Analysis raw'!$B$5:$AC$5, _xlfn.XLOOKUP($A116,'QB_Funds Analysis raw'!$A$6:$A$104,'QB_Funds Analysis raw'!$B$6:$AC$104))))</f>
        <v>0</v>
      </c>
      <c r="J116" s="142" cm="1">
        <f t="array" ref="J116">IF(ISERROR(_xlfn.XLOOKUP(J$5,'QB_Funds Analysis raw'!$B$5:$AC$5, _xlfn.XLOOKUP($A116,'QB_Funds Analysis raw'!$A$6:$A$104,'QB_Funds Analysis raw'!$B$6:$AC$104))),0,(_xlfn.XLOOKUP(J$5,'QB_Funds Analysis raw'!$B$5:$AC$5, _xlfn.XLOOKUP($A116,'QB_Funds Analysis raw'!$A$6:$A$104,'QB_Funds Analysis raw'!$B$6:$AC$104))))</f>
        <v>0</v>
      </c>
      <c r="K116" s="252" cm="1">
        <f t="array" ref="K116">IF(ISERROR(_xlfn.XLOOKUP(K$5,'QB_Funds Analysis raw'!$B$5:$AC$5, _xlfn.XLOOKUP($A116,'QB_Funds Analysis raw'!$A$6:$A$104,'QB_Funds Analysis raw'!$B$6:$AC$104))),0,(_xlfn.XLOOKUP(K$5,'QB_Funds Analysis raw'!$B$5:$AC$5, _xlfn.XLOOKUP($A116,'QB_Funds Analysis raw'!$A$6:$A$104,'QB_Funds Analysis raw'!$B$6:$AC$104))))</f>
        <v>0</v>
      </c>
      <c r="L116" s="142" cm="1">
        <f t="array" ref="L116">IF(ISERROR(_xlfn.XLOOKUP(L$5,'QB_Funds Analysis raw'!$B$5:$AC$5, _xlfn.XLOOKUP($A116,'QB_Funds Analysis raw'!$A$6:$A$104,'QB_Funds Analysis raw'!$B$6:$AC$104))),0,(_xlfn.XLOOKUP(L$5,'QB_Funds Analysis raw'!$B$5:$AC$5, _xlfn.XLOOKUP($A116,'QB_Funds Analysis raw'!$A$6:$A$104,'QB_Funds Analysis raw'!$B$6:$AC$104))))</f>
        <v>0</v>
      </c>
      <c r="M116" s="142" cm="1">
        <f t="array" ref="M116">IF(ISERROR(_xlfn.XLOOKUP(M$5,'QB_Funds Analysis raw'!$B$5:$AC$5, _xlfn.XLOOKUP($A116,'QB_Funds Analysis raw'!$A$6:$A$104,'QB_Funds Analysis raw'!$B$6:$AC$104))),0,(_xlfn.XLOOKUP(M$5,'QB_Funds Analysis raw'!$B$5:$AC$5, _xlfn.XLOOKUP($A116,'QB_Funds Analysis raw'!$A$6:$A$104,'QB_Funds Analysis raw'!$B$6:$AC$104))))</f>
        <v>0</v>
      </c>
      <c r="N116" s="252" cm="1">
        <f t="array" ref="N116">IF(ISERROR(_xlfn.XLOOKUP(N$5,'QB_Funds Analysis raw'!$B$5:$AC$5, _xlfn.XLOOKUP($A116,'QB_Funds Analysis raw'!$A$6:$A$104,'QB_Funds Analysis raw'!$B$6:$AC$104))),0,(_xlfn.XLOOKUP(N$5,'QB_Funds Analysis raw'!$B$5:$AC$5, _xlfn.XLOOKUP($A116,'QB_Funds Analysis raw'!$A$6:$A$104,'QB_Funds Analysis raw'!$B$6:$AC$104))))</f>
        <v>0</v>
      </c>
      <c r="O116" s="252" cm="1">
        <f t="array" ref="O116">IF(ISERROR(_xlfn.XLOOKUP(O$5,'QB_Funds Analysis raw'!$B$5:$AC$5, _xlfn.XLOOKUP($A116,'QB_Funds Analysis raw'!$A$6:$A$104,'QB_Funds Analysis raw'!$B$6:$AC$104))),0,(_xlfn.XLOOKUP(O$5,'QB_Funds Analysis raw'!$B$5:$AC$5, _xlfn.XLOOKUP($A116,'QB_Funds Analysis raw'!$A$6:$A$104,'QB_Funds Analysis raw'!$B$6:$AC$104))))</f>
        <v>0</v>
      </c>
      <c r="P116" s="142" cm="1">
        <f t="array" ref="P116">IF(ISERROR(_xlfn.XLOOKUP(P$5,'QB_Funds Analysis raw'!$B$5:$AC$5, _xlfn.XLOOKUP($A116,'QB_Funds Analysis raw'!$A$6:$A$104,'QB_Funds Analysis raw'!$B$6:$AC$104))),0,(_xlfn.XLOOKUP(P$5,'QB_Funds Analysis raw'!$B$5:$AC$5, _xlfn.XLOOKUP($A116,'QB_Funds Analysis raw'!$A$6:$A$104,'QB_Funds Analysis raw'!$B$6:$AC$104))))</f>
        <v>0</v>
      </c>
      <c r="Q116" s="247" cm="1">
        <f t="array" ref="Q116">IF(ISERROR(_xlfn.XLOOKUP(Q$5,'QB_Funds Analysis raw'!$B$5:$AC$5, _xlfn.XLOOKUP($A116,'QB_Funds Analysis raw'!$A$6:$A$104,'QB_Funds Analysis raw'!$B$6:$AC$104))),0,(_xlfn.XLOOKUP(Q$5,'QB_Funds Analysis raw'!$B$5:$AC$5, _xlfn.XLOOKUP($A116,'QB_Funds Analysis raw'!$A$6:$A$104,'QB_Funds Analysis raw'!$B$6:$AC$104))))</f>
        <v>0</v>
      </c>
      <c r="R116" s="142" cm="1">
        <f t="array" ref="R116">IF(ISERROR(_xlfn.XLOOKUP(R$5,'QB_Funds Analysis raw'!$B$5:$AC$5, _xlfn.XLOOKUP($A116,'QB_Funds Analysis raw'!$A$6:$A$104,'QB_Funds Analysis raw'!$B$6:$AC$104))),0,(_xlfn.XLOOKUP(R$5,'QB_Funds Analysis raw'!$B$5:$AC$5, _xlfn.XLOOKUP($A116,'QB_Funds Analysis raw'!$A$6:$A$104,'QB_Funds Analysis raw'!$B$6:$AC$104))))</f>
        <v>0</v>
      </c>
      <c r="S116" s="142" cm="1">
        <f t="array" ref="S116">IF(ISERROR(_xlfn.XLOOKUP(S$5,'QB_Funds Analysis raw'!$B$5:$AC$5, _xlfn.XLOOKUP($A116,'QB_Funds Analysis raw'!$A$6:$A$104,'QB_Funds Analysis raw'!$B$6:$AC$104))),0,(_xlfn.XLOOKUP(S$5,'QB_Funds Analysis raw'!$B$5:$AC$5, _xlfn.XLOOKUP($A116,'QB_Funds Analysis raw'!$A$6:$A$104,'QB_Funds Analysis raw'!$B$6:$AC$104))))</f>
        <v>0</v>
      </c>
      <c r="T116" s="142" cm="1">
        <f t="array" ref="T116">IF(ISERROR(_xlfn.XLOOKUP(T$5,'QB_Funds Analysis raw'!$B$5:$AC$5, _xlfn.XLOOKUP($A116,'QB_Funds Analysis raw'!$A$6:$A$104,'QB_Funds Analysis raw'!$B$6:$AC$104))),0,(_xlfn.XLOOKUP(T$5,'QB_Funds Analysis raw'!$B$5:$AC$5, _xlfn.XLOOKUP($A116,'QB_Funds Analysis raw'!$A$6:$A$104,'QB_Funds Analysis raw'!$B$6:$AC$104))))</f>
        <v>0</v>
      </c>
      <c r="U116" s="142" cm="1">
        <f t="array" ref="U116">IF(ISERROR(_xlfn.XLOOKUP(U$5,'QB_Funds Analysis raw'!$B$5:$AC$5, _xlfn.XLOOKUP($A116,'QB_Funds Analysis raw'!$A$6:$A$104,'QB_Funds Analysis raw'!$B$6:$AC$104))),0,(_xlfn.XLOOKUP(U$5,'QB_Funds Analysis raw'!$B$5:$AC$5, _xlfn.XLOOKUP($A116,'QB_Funds Analysis raw'!$A$6:$A$104,'QB_Funds Analysis raw'!$B$6:$AC$104))))</f>
        <v>0</v>
      </c>
      <c r="V116" s="142" cm="1">
        <f t="array" ref="V116">IF(ISERROR(_xlfn.XLOOKUP(V$5,'QB_Funds Analysis raw'!$B$5:$AC$5, _xlfn.XLOOKUP($A116,'QB_Funds Analysis raw'!$A$6:$A$104,'QB_Funds Analysis raw'!$B$6:$AC$104))),0,(_xlfn.XLOOKUP(V$5,'QB_Funds Analysis raw'!$B$5:$AC$5, _xlfn.XLOOKUP($A116,'QB_Funds Analysis raw'!$A$6:$A$104,'QB_Funds Analysis raw'!$B$6:$AC$104))))</f>
        <v>0</v>
      </c>
      <c r="W116" s="142" cm="1">
        <f t="array" ref="W116">IF(ISERROR(_xlfn.XLOOKUP(W$5,'QB_Funds Analysis raw'!$B$5:$AC$5, _xlfn.XLOOKUP($A116,'QB_Funds Analysis raw'!$A$6:$A$104,'QB_Funds Analysis raw'!$B$6:$AC$104))),0,(_xlfn.XLOOKUP(W$5,'QB_Funds Analysis raw'!$B$5:$AC$5, _xlfn.XLOOKUP($A116,'QB_Funds Analysis raw'!$A$6:$A$104,'QB_Funds Analysis raw'!$B$6:$AC$104))))</f>
        <v>0</v>
      </c>
      <c r="X116" s="142" cm="1">
        <f t="array" ref="X116">IF(ISERROR(_xlfn.XLOOKUP(X$5,'QB_Funds Analysis raw'!$B$5:$AC$5, _xlfn.XLOOKUP($A116,'QB_Funds Analysis raw'!$A$6:$A$104,'QB_Funds Analysis raw'!$B$6:$AC$104))),0,(_xlfn.XLOOKUP(X$5,'QB_Funds Analysis raw'!$B$5:$AC$5, _xlfn.XLOOKUP($A116,'QB_Funds Analysis raw'!$A$6:$A$104,'QB_Funds Analysis raw'!$B$6:$AC$104))))</f>
        <v>0</v>
      </c>
      <c r="Y116" s="142" cm="1">
        <f t="array" ref="Y116">IF(ISERROR(_xlfn.XLOOKUP(Y$5,'QB_Funds Analysis raw'!$B$5:$AC$5, _xlfn.XLOOKUP($A116,'QB_Funds Analysis raw'!$A$6:$A$104,'QB_Funds Analysis raw'!$B$6:$AC$104))),0,(_xlfn.XLOOKUP(Y$5,'QB_Funds Analysis raw'!$B$5:$AC$5, _xlfn.XLOOKUP($A116,'QB_Funds Analysis raw'!$A$6:$A$104,'QB_Funds Analysis raw'!$B$6:$AC$104))))</f>
        <v>0</v>
      </c>
      <c r="Z116" s="142" cm="1">
        <f t="array" ref="Z116">IF(ISERROR(_xlfn.XLOOKUP(Z$5,'QB_Funds Analysis raw'!$B$5:$AC$5, _xlfn.XLOOKUP($A116,'QB_Funds Analysis raw'!$A$6:$A$104,'QB_Funds Analysis raw'!$B$6:$AC$104))),0,(_xlfn.XLOOKUP(Z$5,'QB_Funds Analysis raw'!$B$5:$AC$5, _xlfn.XLOOKUP($A116,'QB_Funds Analysis raw'!$A$6:$A$104,'QB_Funds Analysis raw'!$B$6:$AC$104))))</f>
        <v>0</v>
      </c>
      <c r="AA116" s="142" cm="1">
        <f t="array" ref="AA116">IF(ISERROR(_xlfn.XLOOKUP(AA$5,'QB_Funds Analysis raw'!$B$5:$AC$5, _xlfn.XLOOKUP($A116,'QB_Funds Analysis raw'!$A$6:$A$104,'QB_Funds Analysis raw'!$B$6:$AC$104))),0,(_xlfn.XLOOKUP(AA$5,'QB_Funds Analysis raw'!$B$5:$AC$5, _xlfn.XLOOKUP($A116,'QB_Funds Analysis raw'!$A$6:$A$104,'QB_Funds Analysis raw'!$B$6:$AC$104))))</f>
        <v>0</v>
      </c>
      <c r="AB116" s="142" cm="1">
        <f t="array" ref="AB116">IF(ISERROR(_xlfn.XLOOKUP(AB$5,'QB_Funds Analysis raw'!$B$5:$AC$5, _xlfn.XLOOKUP($A116,'QB_Funds Analysis raw'!$A$6:$A$104,'QB_Funds Analysis raw'!$B$6:$AC$104))),0,(_xlfn.XLOOKUP(AB$5,'QB_Funds Analysis raw'!$B$5:$AC$5, _xlfn.XLOOKUP($A116,'QB_Funds Analysis raw'!$A$6:$A$104,'QB_Funds Analysis raw'!$B$6:$AC$104))))</f>
        <v>0</v>
      </c>
      <c r="AC116" s="142" cm="1">
        <f t="array" ref="AC116">IF(ISERROR(_xlfn.XLOOKUP(AC$5,'QB_Funds Analysis raw'!$B$5:$AC$5, _xlfn.XLOOKUP($A116,'QB_Funds Analysis raw'!$A$6:$A$104,'QB_Funds Analysis raw'!$B$6:$AC$104))),0,(_xlfn.XLOOKUP(AC$5,'QB_Funds Analysis raw'!$B$5:$AC$5, _xlfn.XLOOKUP($A116,'QB_Funds Analysis raw'!$A$6:$A$104,'QB_Funds Analysis raw'!$B$6:$AC$104))))</f>
        <v>0</v>
      </c>
      <c r="AD116" s="167">
        <f t="shared" si="30"/>
        <v>0</v>
      </c>
      <c r="AE116" s="167">
        <f t="shared" si="22"/>
        <v>0</v>
      </c>
    </row>
    <row r="117" spans="1:31" ht="20.25" customHeight="1" x14ac:dyDescent="0.25">
      <c r="A117" s="73" t="s">
        <v>374</v>
      </c>
      <c r="B117" s="157">
        <f t="shared" ref="B117" si="38">((B114)+(B115))+(B116)</f>
        <v>0</v>
      </c>
      <c r="C117" s="157">
        <f t="shared" ref="C117:AC117" si="39">((C114)+(C115))+(C116)</f>
        <v>0</v>
      </c>
      <c r="D117" s="258">
        <f t="shared" si="39"/>
        <v>0</v>
      </c>
      <c r="E117" s="157">
        <f t="shared" si="39"/>
        <v>0</v>
      </c>
      <c r="F117" s="157">
        <f t="shared" si="39"/>
        <v>0</v>
      </c>
      <c r="G117" s="157">
        <f t="shared" si="39"/>
        <v>0</v>
      </c>
      <c r="H117" s="157">
        <f t="shared" si="39"/>
        <v>0</v>
      </c>
      <c r="I117" s="157">
        <f t="shared" si="39"/>
        <v>0</v>
      </c>
      <c r="J117" s="157">
        <f t="shared" si="39"/>
        <v>0</v>
      </c>
      <c r="K117" s="258">
        <f t="shared" si="39"/>
        <v>0</v>
      </c>
      <c r="L117" s="157">
        <f t="shared" si="39"/>
        <v>0</v>
      </c>
      <c r="M117" s="157">
        <f t="shared" si="39"/>
        <v>0</v>
      </c>
      <c r="N117" s="258">
        <f t="shared" si="39"/>
        <v>0</v>
      </c>
      <c r="O117" s="258">
        <f t="shared" si="39"/>
        <v>0</v>
      </c>
      <c r="P117" s="157">
        <f t="shared" si="39"/>
        <v>0</v>
      </c>
      <c r="Q117" s="244">
        <f t="shared" si="39"/>
        <v>0</v>
      </c>
      <c r="R117" s="157">
        <f t="shared" si="39"/>
        <v>0</v>
      </c>
      <c r="S117" s="157">
        <f t="shared" si="39"/>
        <v>0</v>
      </c>
      <c r="T117" s="157">
        <f t="shared" si="39"/>
        <v>0</v>
      </c>
      <c r="U117" s="157">
        <f t="shared" si="39"/>
        <v>0</v>
      </c>
      <c r="V117" s="157">
        <f t="shared" si="39"/>
        <v>0</v>
      </c>
      <c r="W117" s="157">
        <f t="shared" si="39"/>
        <v>0</v>
      </c>
      <c r="X117" s="157">
        <f t="shared" si="39"/>
        <v>0</v>
      </c>
      <c r="Y117" s="157">
        <f t="shared" si="39"/>
        <v>0</v>
      </c>
      <c r="Z117" s="157">
        <f t="shared" si="39"/>
        <v>0</v>
      </c>
      <c r="AA117" s="157">
        <f t="shared" si="39"/>
        <v>0</v>
      </c>
      <c r="AB117" s="157">
        <f t="shared" si="39"/>
        <v>0</v>
      </c>
      <c r="AC117" s="157">
        <f t="shared" si="39"/>
        <v>0</v>
      </c>
      <c r="AD117" s="167">
        <f t="shared" si="30"/>
        <v>0</v>
      </c>
      <c r="AE117" s="167">
        <f t="shared" si="22"/>
        <v>0</v>
      </c>
    </row>
    <row r="118" spans="1:31" ht="20.25" customHeight="1" x14ac:dyDescent="0.25">
      <c r="A118" s="73" t="s">
        <v>375</v>
      </c>
      <c r="B118" s="157">
        <f t="shared" ref="B118" si="40">(B113)+(B117)</f>
        <v>0</v>
      </c>
      <c r="C118" s="157">
        <f t="shared" ref="C118:AC118" si="41">(C113)+(C117)</f>
        <v>0</v>
      </c>
      <c r="D118" s="258">
        <f t="shared" si="41"/>
        <v>0</v>
      </c>
      <c r="E118" s="157">
        <f t="shared" si="41"/>
        <v>0</v>
      </c>
      <c r="F118" s="157">
        <f t="shared" si="41"/>
        <v>0</v>
      </c>
      <c r="G118" s="157">
        <f t="shared" si="41"/>
        <v>0</v>
      </c>
      <c r="H118" s="157">
        <f t="shared" si="41"/>
        <v>0</v>
      </c>
      <c r="I118" s="157">
        <f t="shared" si="41"/>
        <v>0</v>
      </c>
      <c r="J118" s="157">
        <f t="shared" si="41"/>
        <v>0</v>
      </c>
      <c r="K118" s="258">
        <f t="shared" si="41"/>
        <v>0</v>
      </c>
      <c r="L118" s="157">
        <f t="shared" si="41"/>
        <v>0</v>
      </c>
      <c r="M118" s="157">
        <f t="shared" si="41"/>
        <v>0</v>
      </c>
      <c r="N118" s="258">
        <f t="shared" si="41"/>
        <v>0</v>
      </c>
      <c r="O118" s="258">
        <f t="shared" si="41"/>
        <v>0</v>
      </c>
      <c r="P118" s="157">
        <f t="shared" si="41"/>
        <v>0</v>
      </c>
      <c r="Q118" s="244">
        <f t="shared" si="41"/>
        <v>0</v>
      </c>
      <c r="R118" s="157">
        <f t="shared" si="41"/>
        <v>0</v>
      </c>
      <c r="S118" s="157">
        <f t="shared" si="41"/>
        <v>0</v>
      </c>
      <c r="T118" s="157">
        <f t="shared" si="41"/>
        <v>0</v>
      </c>
      <c r="U118" s="157">
        <f t="shared" si="41"/>
        <v>0</v>
      </c>
      <c r="V118" s="157">
        <f t="shared" si="41"/>
        <v>0</v>
      </c>
      <c r="W118" s="157">
        <f t="shared" si="41"/>
        <v>0</v>
      </c>
      <c r="X118" s="157">
        <f t="shared" si="41"/>
        <v>0</v>
      </c>
      <c r="Y118" s="157">
        <f t="shared" si="41"/>
        <v>0</v>
      </c>
      <c r="Z118" s="157">
        <f t="shared" si="41"/>
        <v>0</v>
      </c>
      <c r="AA118" s="157">
        <f t="shared" si="41"/>
        <v>0</v>
      </c>
      <c r="AB118" s="157">
        <f t="shared" si="41"/>
        <v>0</v>
      </c>
      <c r="AC118" s="157">
        <f t="shared" si="41"/>
        <v>0</v>
      </c>
      <c r="AD118" s="167">
        <f t="shared" si="30"/>
        <v>0</v>
      </c>
      <c r="AE118" s="167">
        <f t="shared" si="22"/>
        <v>0</v>
      </c>
    </row>
    <row r="119" spans="1:31" ht="20.25" customHeight="1" x14ac:dyDescent="0.25">
      <c r="A119" s="73" t="s">
        <v>103</v>
      </c>
      <c r="B119" s="157">
        <f t="shared" ref="B119" si="42">(B111)-(B118)</f>
        <v>0</v>
      </c>
      <c r="C119" s="157">
        <f t="shared" ref="C119:AC119" si="43">(C111)-(C118)</f>
        <v>0</v>
      </c>
      <c r="D119" s="258">
        <f t="shared" si="43"/>
        <v>0</v>
      </c>
      <c r="E119" s="157">
        <f t="shared" si="43"/>
        <v>0</v>
      </c>
      <c r="F119" s="157">
        <f t="shared" si="43"/>
        <v>0</v>
      </c>
      <c r="G119" s="157">
        <f t="shared" si="43"/>
        <v>0</v>
      </c>
      <c r="H119" s="157">
        <f t="shared" si="43"/>
        <v>0</v>
      </c>
      <c r="I119" s="157">
        <f t="shared" si="43"/>
        <v>0</v>
      </c>
      <c r="J119" s="157">
        <f t="shared" si="43"/>
        <v>0</v>
      </c>
      <c r="K119" s="258">
        <f t="shared" si="43"/>
        <v>0</v>
      </c>
      <c r="L119" s="157">
        <f t="shared" si="43"/>
        <v>0</v>
      </c>
      <c r="M119" s="157">
        <f t="shared" si="43"/>
        <v>0</v>
      </c>
      <c r="N119" s="258">
        <f t="shared" si="43"/>
        <v>0</v>
      </c>
      <c r="O119" s="258">
        <f t="shared" si="43"/>
        <v>0</v>
      </c>
      <c r="P119" s="157">
        <f t="shared" si="43"/>
        <v>0</v>
      </c>
      <c r="Q119" s="244">
        <f t="shared" si="43"/>
        <v>0</v>
      </c>
      <c r="R119" s="157">
        <f t="shared" si="43"/>
        <v>0</v>
      </c>
      <c r="S119" s="157">
        <f t="shared" si="43"/>
        <v>0</v>
      </c>
      <c r="T119" s="157">
        <f t="shared" si="43"/>
        <v>0</v>
      </c>
      <c r="U119" s="157">
        <f t="shared" si="43"/>
        <v>0</v>
      </c>
      <c r="V119" s="157">
        <f t="shared" si="43"/>
        <v>0</v>
      </c>
      <c r="W119" s="157">
        <f t="shared" si="43"/>
        <v>0</v>
      </c>
      <c r="X119" s="157">
        <f t="shared" si="43"/>
        <v>0</v>
      </c>
      <c r="Y119" s="157">
        <f t="shared" si="43"/>
        <v>0</v>
      </c>
      <c r="Z119" s="157">
        <f t="shared" si="43"/>
        <v>0</v>
      </c>
      <c r="AA119" s="157">
        <f t="shared" si="43"/>
        <v>0</v>
      </c>
      <c r="AB119" s="157">
        <f t="shared" si="43"/>
        <v>0</v>
      </c>
      <c r="AC119" s="157">
        <f t="shared" si="43"/>
        <v>0</v>
      </c>
      <c r="AD119" s="167">
        <f t="shared" si="30"/>
        <v>0</v>
      </c>
      <c r="AE119" s="167">
        <f t="shared" si="22"/>
        <v>0</v>
      </c>
    </row>
    <row r="120" spans="1:31" ht="20.25" customHeight="1" x14ac:dyDescent="0.25">
      <c r="A120" s="73" t="s">
        <v>104</v>
      </c>
      <c r="B120" s="146">
        <f t="shared" ref="B120" si="44">(B108)+(B119)</f>
        <v>0</v>
      </c>
      <c r="C120" s="146">
        <f t="shared" ref="C120:AC120" si="45">(C108)+(C119)</f>
        <v>0</v>
      </c>
      <c r="D120" s="258">
        <f t="shared" si="45"/>
        <v>0</v>
      </c>
      <c r="E120" s="146">
        <f t="shared" si="45"/>
        <v>0</v>
      </c>
      <c r="F120" s="146">
        <f t="shared" si="45"/>
        <v>1971.06</v>
      </c>
      <c r="G120" s="146">
        <f t="shared" si="45"/>
        <v>0</v>
      </c>
      <c r="H120" s="146">
        <f t="shared" si="45"/>
        <v>542.53000000000009</v>
      </c>
      <c r="I120" s="146">
        <f t="shared" si="45"/>
        <v>0</v>
      </c>
      <c r="J120" s="146">
        <f t="shared" si="45"/>
        <v>1467.4499999999998</v>
      </c>
      <c r="K120" s="258">
        <f t="shared" si="45"/>
        <v>-106.80999999999995</v>
      </c>
      <c r="L120" s="146">
        <f t="shared" si="45"/>
        <v>5845.85</v>
      </c>
      <c r="M120" s="146">
        <f t="shared" si="45"/>
        <v>0</v>
      </c>
      <c r="N120" s="258">
        <f t="shared" si="45"/>
        <v>-215.25</v>
      </c>
      <c r="O120" s="258">
        <f t="shared" si="45"/>
        <v>-5224.6900000000005</v>
      </c>
      <c r="P120" s="146">
        <f t="shared" si="45"/>
        <v>0</v>
      </c>
      <c r="Q120" s="244">
        <f t="shared" si="45"/>
        <v>3348.3999999999978</v>
      </c>
      <c r="R120" s="146">
        <f t="shared" si="45"/>
        <v>0</v>
      </c>
      <c r="S120" s="146">
        <f t="shared" si="45"/>
        <v>0</v>
      </c>
      <c r="T120" s="146">
        <f t="shared" si="45"/>
        <v>0</v>
      </c>
      <c r="U120" s="146">
        <f t="shared" si="45"/>
        <v>0</v>
      </c>
      <c r="V120" s="146">
        <f t="shared" si="45"/>
        <v>0</v>
      </c>
      <c r="W120" s="146">
        <f t="shared" si="45"/>
        <v>1429.42</v>
      </c>
      <c r="X120" s="146">
        <f t="shared" si="45"/>
        <v>-12631.9</v>
      </c>
      <c r="Y120" s="146">
        <f t="shared" si="45"/>
        <v>756.21</v>
      </c>
      <c r="Z120" s="146">
        <f t="shared" si="45"/>
        <v>0</v>
      </c>
      <c r="AA120" s="146">
        <f t="shared" si="45"/>
        <v>-1637.5</v>
      </c>
      <c r="AB120" s="146">
        <f t="shared" si="45"/>
        <v>-15607.14</v>
      </c>
      <c r="AC120" s="146">
        <f t="shared" si="45"/>
        <v>-12258.739999999991</v>
      </c>
      <c r="AD120" s="167">
        <f>AB120+Q120</f>
        <v>-12258.740000000002</v>
      </c>
      <c r="AE120" s="167">
        <f t="shared" si="22"/>
        <v>0</v>
      </c>
    </row>
    <row r="121" spans="1:31" ht="20.25" customHeight="1" x14ac:dyDescent="0.25">
      <c r="A121" s="73"/>
      <c r="B121" s="158"/>
      <c r="C121" s="158"/>
      <c r="D121" s="251"/>
      <c r="E121" s="163"/>
      <c r="F121" s="163"/>
      <c r="G121" s="163"/>
      <c r="H121" s="163"/>
      <c r="I121" s="163"/>
      <c r="J121" s="163"/>
      <c r="K121" s="251"/>
      <c r="L121" s="163"/>
      <c r="M121" s="163"/>
      <c r="N121" s="251"/>
      <c r="O121" s="251"/>
      <c r="P121" s="163"/>
      <c r="Q121" s="247"/>
      <c r="R121" s="163"/>
      <c r="S121" s="163"/>
      <c r="T121" s="163"/>
      <c r="U121" s="163"/>
      <c r="V121" s="163"/>
      <c r="W121" s="163"/>
      <c r="X121" s="163"/>
      <c r="Y121" s="163"/>
      <c r="Z121" s="149"/>
      <c r="AA121" s="74"/>
      <c r="AE121" s="167"/>
    </row>
    <row r="122" spans="1:31" ht="20.25" customHeight="1" x14ac:dyDescent="0.25">
      <c r="AE122" s="167"/>
    </row>
    <row r="123" spans="1:31" ht="20.25" customHeight="1" x14ac:dyDescent="0.25">
      <c r="AE123" s="167"/>
    </row>
    <row r="124" spans="1:31" ht="20.25" customHeight="1" x14ac:dyDescent="0.25">
      <c r="A124" s="282" t="s">
        <v>376</v>
      </c>
      <c r="B124" s="280"/>
      <c r="C124" s="280"/>
      <c r="D124" s="280"/>
      <c r="E124" s="280"/>
      <c r="F124" s="280"/>
      <c r="G124" s="280"/>
      <c r="H124" s="280"/>
      <c r="I124" s="280"/>
      <c r="J124" s="280"/>
      <c r="K124" s="280"/>
      <c r="L124" s="280"/>
      <c r="M124" s="280"/>
      <c r="N124" s="280"/>
      <c r="O124" s="280"/>
      <c r="P124" s="280"/>
      <c r="Q124" s="280"/>
      <c r="R124" s="280"/>
      <c r="S124" s="280"/>
      <c r="T124" s="280"/>
      <c r="U124" s="280"/>
      <c r="V124" s="280"/>
      <c r="W124" s="280"/>
      <c r="X124" s="280"/>
      <c r="Y124" s="280"/>
      <c r="AE124" s="167"/>
    </row>
  </sheetData>
  <sheetProtection selectLockedCells="1" selectUnlockedCells="1"/>
  <mergeCells count="4">
    <mergeCell ref="A1:Y1"/>
    <mergeCell ref="A2:Y2"/>
    <mergeCell ref="A3:Y3"/>
    <mergeCell ref="A124:Y124"/>
  </mergeCells>
  <pageMargins left="0.25" right="0.25" top="0.75" bottom="0.75" header="0.3" footer="0.3"/>
  <pageSetup scale="36" firstPageNumber="0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DE917-D3B0-434D-9BCC-C2A02B2E0BAB}">
  <sheetPr>
    <tabColor theme="5"/>
    <pageSetUpPr fitToPage="1"/>
  </sheetPr>
  <dimension ref="A1:Y122"/>
  <sheetViews>
    <sheetView zoomScale="98" zoomScaleNormal="98" workbookViewId="0">
      <pane xSplit="2" ySplit="5" topLeftCell="J39" activePane="bottomRight" state="frozen"/>
      <selection activeCell="J33" sqref="J33"/>
      <selection pane="topRight" activeCell="J33" sqref="J33"/>
      <selection pane="bottomLeft" activeCell="J33" sqref="J33"/>
      <selection pane="bottomRight" activeCell="A50" sqref="A50:XFD50"/>
    </sheetView>
  </sheetViews>
  <sheetFormatPr defaultRowHeight="15" x14ac:dyDescent="0.25"/>
  <cols>
    <col min="1" max="1" width="54.140625" customWidth="1"/>
    <col min="2" max="2" width="7.5703125" style="271" bestFit="1" customWidth="1"/>
    <col min="3" max="3" width="10" style="271" bestFit="1" customWidth="1"/>
    <col min="4" max="4" width="10" bestFit="1" customWidth="1"/>
    <col min="5" max="5" width="10" style="271" bestFit="1" customWidth="1"/>
    <col min="6" max="6" width="8" bestFit="1" customWidth="1"/>
    <col min="7" max="7" width="10.28515625" bestFit="1" customWidth="1"/>
    <col min="8" max="8" width="10.28515625" style="271" bestFit="1" customWidth="1"/>
    <col min="9" max="9" width="9.7109375" bestFit="1" customWidth="1"/>
    <col min="10" max="10" width="11.140625" style="271" bestFit="1" customWidth="1"/>
    <col min="11" max="11" width="9.7109375" style="271" bestFit="1" customWidth="1"/>
    <col min="12" max="12" width="11" style="271" bestFit="1" customWidth="1"/>
    <col min="13" max="13" width="11.140625" bestFit="1" customWidth="1"/>
    <col min="14" max="14" width="11.42578125" style="264" bestFit="1" customWidth="1"/>
    <col min="15" max="15" width="7.7109375" customWidth="1"/>
    <col min="16" max="16" width="11.42578125" bestFit="1" customWidth="1"/>
    <col min="17" max="17" width="8.7109375" bestFit="1" customWidth="1"/>
    <col min="18" max="18" width="11.42578125" bestFit="1" customWidth="1"/>
    <col min="19" max="19" width="11.28515625" bestFit="1" customWidth="1"/>
    <col min="20" max="20" width="9.28515625" bestFit="1" customWidth="1"/>
    <col min="21" max="21" width="11.7109375" bestFit="1" customWidth="1"/>
    <col min="22" max="22" width="10" bestFit="1" customWidth="1"/>
    <col min="23" max="23" width="11.7109375" bestFit="1" customWidth="1"/>
    <col min="24" max="24" width="12.28515625" style="74" bestFit="1" customWidth="1"/>
    <col min="25" max="25" width="12.140625" style="205" bestFit="1" customWidth="1"/>
  </cols>
  <sheetData>
    <row r="1" spans="1:25" ht="18" x14ac:dyDescent="0.25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</row>
    <row r="2" spans="1:25" ht="18" x14ac:dyDescent="0.25">
      <c r="A2" s="284" t="s">
        <v>455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</row>
    <row r="3" spans="1:25" x14ac:dyDescent="0.25">
      <c r="A3" s="285" t="s">
        <v>579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</row>
    <row r="5" spans="1:25" ht="48.75" x14ac:dyDescent="0.25">
      <c r="A5" s="1"/>
      <c r="B5" s="265" t="s">
        <v>4</v>
      </c>
      <c r="C5" s="265" t="s">
        <v>456</v>
      </c>
      <c r="D5" s="189" t="s">
        <v>580</v>
      </c>
      <c r="E5" s="265" t="s">
        <v>457</v>
      </c>
      <c r="F5" s="189" t="s">
        <v>581</v>
      </c>
      <c r="G5" s="189" t="s">
        <v>461</v>
      </c>
      <c r="H5" s="265" t="s">
        <v>10</v>
      </c>
      <c r="I5" s="189" t="s">
        <v>582</v>
      </c>
      <c r="J5" s="265" t="s">
        <v>6</v>
      </c>
      <c r="K5" s="265" t="s">
        <v>462</v>
      </c>
      <c r="L5" s="265" t="s">
        <v>419</v>
      </c>
      <c r="M5" s="189" t="s">
        <v>583</v>
      </c>
      <c r="N5" s="259" t="s">
        <v>8</v>
      </c>
      <c r="O5" s="189" t="s">
        <v>9</v>
      </c>
      <c r="P5" s="189" t="s">
        <v>580</v>
      </c>
      <c r="Q5" s="189" t="s">
        <v>459</v>
      </c>
      <c r="R5" s="189" t="s">
        <v>461</v>
      </c>
      <c r="S5" s="189" t="s">
        <v>6</v>
      </c>
      <c r="T5" s="189" t="s">
        <v>584</v>
      </c>
      <c r="U5" s="189" t="s">
        <v>13</v>
      </c>
      <c r="V5" s="189" t="s">
        <v>360</v>
      </c>
      <c r="W5" s="189" t="s">
        <v>583</v>
      </c>
      <c r="X5" s="197" t="s">
        <v>15</v>
      </c>
      <c r="Y5" s="201" t="s">
        <v>16</v>
      </c>
    </row>
    <row r="6" spans="1:25" x14ac:dyDescent="0.25">
      <c r="A6" s="194" t="s">
        <v>17</v>
      </c>
      <c r="B6" s="266"/>
      <c r="C6" s="266"/>
      <c r="D6" s="195"/>
      <c r="E6" s="266"/>
      <c r="F6" s="195"/>
      <c r="G6" s="195"/>
      <c r="H6" s="266"/>
      <c r="I6" s="195"/>
      <c r="J6" s="266"/>
      <c r="K6" s="266"/>
      <c r="L6" s="266"/>
      <c r="M6" s="195"/>
      <c r="N6" s="260"/>
      <c r="O6" s="195"/>
      <c r="P6" s="195"/>
      <c r="Q6" s="195"/>
      <c r="R6" s="195"/>
      <c r="S6" s="195"/>
      <c r="T6" s="195"/>
      <c r="U6" s="195"/>
      <c r="V6" s="195"/>
      <c r="W6" s="195"/>
      <c r="X6" s="198"/>
      <c r="Y6" s="202"/>
    </row>
    <row r="7" spans="1:25" x14ac:dyDescent="0.25">
      <c r="A7" s="194" t="s">
        <v>18</v>
      </c>
      <c r="B7" s="266"/>
      <c r="C7" s="266"/>
      <c r="D7" s="195"/>
      <c r="E7" s="266"/>
      <c r="F7" s="195"/>
      <c r="G7" s="191">
        <f t="shared" ref="G7:G28" si="0">((D7)+(E7))+(F7)</f>
        <v>0</v>
      </c>
      <c r="H7" s="266"/>
      <c r="I7" s="195"/>
      <c r="J7" s="266"/>
      <c r="K7" s="266"/>
      <c r="L7" s="266"/>
      <c r="M7" s="191">
        <f t="shared" ref="M7:M27" si="1">((J7)+(K7))+(L7)</f>
        <v>0</v>
      </c>
      <c r="N7" s="261">
        <f t="shared" ref="N7:N28" si="2">(((((B7)+(C7))+(G7))+(H7))+(I7))+(M7)</f>
        <v>0</v>
      </c>
      <c r="O7" s="195"/>
      <c r="P7" s="195"/>
      <c r="Q7" s="195"/>
      <c r="R7" s="191">
        <f t="shared" ref="R7:R28" si="3">(P7)+(Q7)</f>
        <v>0</v>
      </c>
      <c r="S7" s="195"/>
      <c r="T7" s="195"/>
      <c r="U7" s="195"/>
      <c r="V7" s="195"/>
      <c r="W7" s="191">
        <f t="shared" ref="W7:W28" si="4">(((S7)+(T7))+(U7))+(V7)</f>
        <v>0</v>
      </c>
      <c r="X7" s="199">
        <f t="shared" ref="X7:X28" si="5">((O7)+(R7))+(W7)</f>
        <v>0</v>
      </c>
      <c r="Y7" s="203">
        <f t="shared" ref="Y7:Y28" si="6">(N7)+(X7)</f>
        <v>0</v>
      </c>
    </row>
    <row r="8" spans="1:25" x14ac:dyDescent="0.25">
      <c r="A8" s="194" t="s">
        <v>20</v>
      </c>
      <c r="B8" s="266"/>
      <c r="C8" s="266"/>
      <c r="D8" s="191">
        <f>400</f>
        <v>400</v>
      </c>
      <c r="E8" s="266"/>
      <c r="F8" s="195"/>
      <c r="G8" s="191">
        <f t="shared" si="0"/>
        <v>400</v>
      </c>
      <c r="H8" s="266">
        <v>112.8</v>
      </c>
      <c r="I8" s="191">
        <f>259.19</f>
        <v>259.19</v>
      </c>
      <c r="J8" s="267">
        <f>2000</f>
        <v>2000</v>
      </c>
      <c r="K8" s="267">
        <v>0</v>
      </c>
      <c r="L8" s="267">
        <f>205</f>
        <v>205</v>
      </c>
      <c r="M8" s="191">
        <f t="shared" si="1"/>
        <v>2205</v>
      </c>
      <c r="N8" s="261">
        <f t="shared" si="2"/>
        <v>2976.99</v>
      </c>
      <c r="O8" s="195"/>
      <c r="P8" s="191">
        <f>2398.26-112.8+79.22</f>
        <v>2364.6799999999998</v>
      </c>
      <c r="Q8" s="195"/>
      <c r="R8" s="191">
        <f>(P8)+(Q8)</f>
        <v>2364.6799999999998</v>
      </c>
      <c r="S8" s="191">
        <v>0</v>
      </c>
      <c r="T8" s="195"/>
      <c r="U8" s="195"/>
      <c r="V8" s="191">
        <f>45</f>
        <v>45</v>
      </c>
      <c r="W8" s="191">
        <f t="shared" si="4"/>
        <v>45</v>
      </c>
      <c r="X8" s="199">
        <f t="shared" si="5"/>
        <v>2409.6799999999998</v>
      </c>
      <c r="Y8" s="203">
        <f t="shared" si="6"/>
        <v>5386.67</v>
      </c>
    </row>
    <row r="9" spans="1:25" x14ac:dyDescent="0.25">
      <c r="A9" s="194" t="s">
        <v>585</v>
      </c>
      <c r="B9" s="266"/>
      <c r="C9" s="267">
        <f>1094.79</f>
        <v>1094.79</v>
      </c>
      <c r="D9" s="195"/>
      <c r="E9" s="266"/>
      <c r="F9" s="195"/>
      <c r="G9" s="191">
        <f t="shared" si="0"/>
        <v>0</v>
      </c>
      <c r="H9" s="266"/>
      <c r="I9" s="195"/>
      <c r="J9" s="266"/>
      <c r="K9" s="266"/>
      <c r="L9" s="266"/>
      <c r="M9" s="191">
        <f t="shared" si="1"/>
        <v>0</v>
      </c>
      <c r="N9" s="261">
        <f t="shared" si="2"/>
        <v>1094.79</v>
      </c>
      <c r="O9" s="195"/>
      <c r="P9" s="195"/>
      <c r="Q9" s="195"/>
      <c r="R9" s="191">
        <f t="shared" si="3"/>
        <v>0</v>
      </c>
      <c r="S9" s="195"/>
      <c r="T9" s="195"/>
      <c r="U9" s="195"/>
      <c r="V9" s="195"/>
      <c r="W9" s="191">
        <f t="shared" si="4"/>
        <v>0</v>
      </c>
      <c r="X9" s="199">
        <f t="shared" si="5"/>
        <v>0</v>
      </c>
      <c r="Y9" s="203">
        <f t="shared" si="6"/>
        <v>1094.79</v>
      </c>
    </row>
    <row r="10" spans="1:25" x14ac:dyDescent="0.25">
      <c r="A10" s="194" t="s">
        <v>21</v>
      </c>
      <c r="B10" s="268">
        <f>((B7)+(B8))+(B9)</f>
        <v>0</v>
      </c>
      <c r="C10" s="268">
        <f>((C7)+(C8))+(C9)</f>
        <v>1094.79</v>
      </c>
      <c r="D10" s="196">
        <f>((D7)+(D8))+(D9)</f>
        <v>400</v>
      </c>
      <c r="E10" s="268">
        <f>((E7)+(E8))+(E9)</f>
        <v>0</v>
      </c>
      <c r="F10" s="196">
        <f>((F7)+(F8))+(F9)</f>
        <v>0</v>
      </c>
      <c r="G10" s="196">
        <f t="shared" si="0"/>
        <v>400</v>
      </c>
      <c r="H10" s="268">
        <f>((H7)+(H8))+(H9)</f>
        <v>112.8</v>
      </c>
      <c r="I10" s="196">
        <f>((I7)+(I8))+(I9)</f>
        <v>259.19</v>
      </c>
      <c r="J10" s="268">
        <f>((J7)+(J8))+(J9)</f>
        <v>2000</v>
      </c>
      <c r="K10" s="268">
        <f>((K7)+(K8))+(K9)</f>
        <v>0</v>
      </c>
      <c r="L10" s="268">
        <f>((L7)+(L8))+(L9)</f>
        <v>205</v>
      </c>
      <c r="M10" s="196">
        <f t="shared" si="1"/>
        <v>2205</v>
      </c>
      <c r="N10" s="262">
        <f t="shared" si="2"/>
        <v>4071.7799999999997</v>
      </c>
      <c r="O10" s="196">
        <f>((O7)+(O8))+(O9)</f>
        <v>0</v>
      </c>
      <c r="P10" s="196">
        <f>((P7)+(P8))+(P9)</f>
        <v>2364.6799999999998</v>
      </c>
      <c r="Q10" s="196">
        <f>((Q7)+(Q8))+(Q9)</f>
        <v>0</v>
      </c>
      <c r="R10" s="196">
        <f t="shared" si="3"/>
        <v>2364.6799999999998</v>
      </c>
      <c r="S10" s="196">
        <f>((S7)+(S8))+(S9)</f>
        <v>0</v>
      </c>
      <c r="T10" s="196">
        <f>((T7)+(T8))+(T9)</f>
        <v>0</v>
      </c>
      <c r="U10" s="196">
        <f>((U7)+(U8))+(U9)</f>
        <v>0</v>
      </c>
      <c r="V10" s="196">
        <f>((V7)+(V8))+(V9)</f>
        <v>45</v>
      </c>
      <c r="W10" s="196">
        <f t="shared" si="4"/>
        <v>45</v>
      </c>
      <c r="X10" s="200">
        <f t="shared" si="5"/>
        <v>2409.6799999999998</v>
      </c>
      <c r="Y10" s="204">
        <f t="shared" si="6"/>
        <v>6481.4599999999991</v>
      </c>
    </row>
    <row r="11" spans="1:25" x14ac:dyDescent="0.25">
      <c r="A11" s="194" t="s">
        <v>22</v>
      </c>
      <c r="B11" s="266"/>
      <c r="C11" s="266"/>
      <c r="D11" s="195"/>
      <c r="E11" s="266"/>
      <c r="F11" s="195"/>
      <c r="G11" s="191">
        <f t="shared" si="0"/>
        <v>0</v>
      </c>
      <c r="H11" s="266"/>
      <c r="I11" s="195"/>
      <c r="J11" s="266"/>
      <c r="K11" s="266"/>
      <c r="L11" s="267">
        <f>227.91</f>
        <v>227.91</v>
      </c>
      <c r="M11" s="191">
        <f t="shared" si="1"/>
        <v>227.91</v>
      </c>
      <c r="N11" s="261">
        <f t="shared" si="2"/>
        <v>227.91</v>
      </c>
      <c r="O11" s="195"/>
      <c r="P11" s="195"/>
      <c r="Q11" s="195"/>
      <c r="R11" s="191">
        <f t="shared" si="3"/>
        <v>0</v>
      </c>
      <c r="S11" s="191">
        <f>122.99</f>
        <v>122.99</v>
      </c>
      <c r="T11" s="195"/>
      <c r="U11" s="195"/>
      <c r="V11" s="195"/>
      <c r="W11" s="191">
        <f t="shared" si="4"/>
        <v>122.99</v>
      </c>
      <c r="X11" s="199">
        <f t="shared" si="5"/>
        <v>122.99</v>
      </c>
      <c r="Y11" s="203">
        <f t="shared" si="6"/>
        <v>350.9</v>
      </c>
    </row>
    <row r="12" spans="1:25" x14ac:dyDescent="0.25">
      <c r="A12" s="194" t="s">
        <v>23</v>
      </c>
      <c r="B12" s="266"/>
      <c r="C12" s="266"/>
      <c r="D12" s="195"/>
      <c r="E12" s="266"/>
      <c r="F12" s="195"/>
      <c r="G12" s="191">
        <f t="shared" si="0"/>
        <v>0</v>
      </c>
      <c r="H12" s="266"/>
      <c r="I12" s="195"/>
      <c r="J12" s="266"/>
      <c r="K12" s="266"/>
      <c r="L12" s="266"/>
      <c r="M12" s="191">
        <f t="shared" si="1"/>
        <v>0</v>
      </c>
      <c r="N12" s="261">
        <f t="shared" si="2"/>
        <v>0</v>
      </c>
      <c r="O12" s="195"/>
      <c r="P12" s="191">
        <f>6039.87</f>
        <v>6039.87</v>
      </c>
      <c r="Q12" s="191">
        <f>165</f>
        <v>165</v>
      </c>
      <c r="R12" s="191">
        <f t="shared" si="3"/>
        <v>6204.87</v>
      </c>
      <c r="S12" s="195"/>
      <c r="T12" s="195"/>
      <c r="U12" s="195"/>
      <c r="V12" s="195"/>
      <c r="W12" s="191">
        <f t="shared" si="4"/>
        <v>0</v>
      </c>
      <c r="X12" s="199">
        <f t="shared" si="5"/>
        <v>6204.87</v>
      </c>
      <c r="Y12" s="203">
        <f t="shared" si="6"/>
        <v>6204.87</v>
      </c>
    </row>
    <row r="13" spans="1:25" x14ac:dyDescent="0.25">
      <c r="A13" s="194" t="s">
        <v>24</v>
      </c>
      <c r="B13" s="266"/>
      <c r="C13" s="266"/>
      <c r="D13" s="195"/>
      <c r="E13" s="266"/>
      <c r="F13" s="195"/>
      <c r="G13" s="191">
        <f t="shared" si="0"/>
        <v>0</v>
      </c>
      <c r="H13" s="266"/>
      <c r="I13" s="195"/>
      <c r="J13" s="266"/>
      <c r="K13" s="266"/>
      <c r="L13" s="266"/>
      <c r="M13" s="191">
        <f t="shared" si="1"/>
        <v>0</v>
      </c>
      <c r="N13" s="261">
        <f t="shared" si="2"/>
        <v>0</v>
      </c>
      <c r="O13" s="195"/>
      <c r="P13" s="191">
        <f>11418</f>
        <v>11418</v>
      </c>
      <c r="Q13" s="195"/>
      <c r="R13" s="191">
        <f t="shared" si="3"/>
        <v>11418</v>
      </c>
      <c r="S13" s="195"/>
      <c r="T13" s="195"/>
      <c r="U13" s="195"/>
      <c r="V13" s="195"/>
      <c r="W13" s="191">
        <f t="shared" si="4"/>
        <v>0</v>
      </c>
      <c r="X13" s="199">
        <f t="shared" si="5"/>
        <v>11418</v>
      </c>
      <c r="Y13" s="203">
        <f t="shared" si="6"/>
        <v>11418</v>
      </c>
    </row>
    <row r="14" spans="1:25" x14ac:dyDescent="0.25">
      <c r="A14" s="194" t="s">
        <v>25</v>
      </c>
      <c r="B14" s="266"/>
      <c r="C14" s="266"/>
      <c r="D14" s="195"/>
      <c r="E14" s="266"/>
      <c r="F14" s="195"/>
      <c r="G14" s="191">
        <f t="shared" si="0"/>
        <v>0</v>
      </c>
      <c r="H14" s="266"/>
      <c r="I14" s="195"/>
      <c r="J14" s="266"/>
      <c r="K14" s="266"/>
      <c r="L14" s="266"/>
      <c r="M14" s="191">
        <f t="shared" si="1"/>
        <v>0</v>
      </c>
      <c r="N14" s="261">
        <f t="shared" si="2"/>
        <v>0</v>
      </c>
      <c r="O14" s="195"/>
      <c r="P14" s="191">
        <f>50522.08</f>
        <v>50522.080000000002</v>
      </c>
      <c r="Q14" s="195"/>
      <c r="R14" s="191">
        <f t="shared" si="3"/>
        <v>50522.080000000002</v>
      </c>
      <c r="S14" s="195"/>
      <c r="T14" s="195"/>
      <c r="U14" s="195"/>
      <c r="V14" s="195"/>
      <c r="W14" s="191">
        <f t="shared" si="4"/>
        <v>0</v>
      </c>
      <c r="X14" s="199">
        <f t="shared" si="5"/>
        <v>50522.080000000002</v>
      </c>
      <c r="Y14" s="203">
        <f t="shared" si="6"/>
        <v>50522.080000000002</v>
      </c>
    </row>
    <row r="15" spans="1:25" x14ac:dyDescent="0.25">
      <c r="A15" s="194" t="s">
        <v>27</v>
      </c>
      <c r="B15" s="266"/>
      <c r="C15" s="266"/>
      <c r="D15" s="195"/>
      <c r="E15" s="266"/>
      <c r="F15" s="195"/>
      <c r="G15" s="191">
        <f t="shared" si="0"/>
        <v>0</v>
      </c>
      <c r="H15" s="266"/>
      <c r="I15" s="195"/>
      <c r="J15" s="266"/>
      <c r="K15" s="266"/>
      <c r="L15" s="266"/>
      <c r="M15" s="191">
        <f t="shared" si="1"/>
        <v>0</v>
      </c>
      <c r="N15" s="261">
        <f t="shared" si="2"/>
        <v>0</v>
      </c>
      <c r="O15" s="195"/>
      <c r="P15" s="191">
        <f>4004.71</f>
        <v>4004.71</v>
      </c>
      <c r="Q15" s="195"/>
      <c r="R15" s="191">
        <f t="shared" si="3"/>
        <v>4004.71</v>
      </c>
      <c r="S15" s="195"/>
      <c r="T15" s="195"/>
      <c r="U15" s="195"/>
      <c r="V15" s="195"/>
      <c r="W15" s="191">
        <f t="shared" si="4"/>
        <v>0</v>
      </c>
      <c r="X15" s="199">
        <f t="shared" si="5"/>
        <v>4004.71</v>
      </c>
      <c r="Y15" s="203">
        <f t="shared" si="6"/>
        <v>4004.71</v>
      </c>
    </row>
    <row r="16" spans="1:25" x14ac:dyDescent="0.25">
      <c r="A16" s="194" t="s">
        <v>28</v>
      </c>
      <c r="B16" s="266"/>
      <c r="C16" s="266"/>
      <c r="D16" s="195"/>
      <c r="E16" s="266"/>
      <c r="F16" s="191">
        <f>19.19</f>
        <v>19.190000000000001</v>
      </c>
      <c r="G16" s="191">
        <f t="shared" si="0"/>
        <v>19.190000000000001</v>
      </c>
      <c r="H16" s="266"/>
      <c r="I16" s="195"/>
      <c r="J16" s="266"/>
      <c r="K16" s="266"/>
      <c r="L16" s="266"/>
      <c r="M16" s="191">
        <f t="shared" si="1"/>
        <v>0</v>
      </c>
      <c r="N16" s="261">
        <f t="shared" si="2"/>
        <v>19.190000000000001</v>
      </c>
      <c r="O16" s="195"/>
      <c r="P16" s="191">
        <f>406.88</f>
        <v>406.88</v>
      </c>
      <c r="Q16" s="195"/>
      <c r="R16" s="191">
        <f t="shared" si="3"/>
        <v>406.88</v>
      </c>
      <c r="S16" s="195"/>
      <c r="T16" s="195"/>
      <c r="U16" s="195"/>
      <c r="V16" s="195"/>
      <c r="W16" s="191">
        <f t="shared" si="4"/>
        <v>0</v>
      </c>
      <c r="X16" s="199">
        <f t="shared" si="5"/>
        <v>406.88</v>
      </c>
      <c r="Y16" s="203">
        <f t="shared" si="6"/>
        <v>426.07</v>
      </c>
    </row>
    <row r="17" spans="1:25" x14ac:dyDescent="0.25">
      <c r="A17" s="194" t="s">
        <v>586</v>
      </c>
      <c r="B17" s="266"/>
      <c r="C17" s="266"/>
      <c r="D17" s="195"/>
      <c r="E17" s="266"/>
      <c r="F17" s="195"/>
      <c r="G17" s="191">
        <f t="shared" si="0"/>
        <v>0</v>
      </c>
      <c r="H17" s="266"/>
      <c r="I17" s="195"/>
      <c r="J17" s="266"/>
      <c r="K17" s="266"/>
      <c r="L17" s="266"/>
      <c r="M17" s="191">
        <f t="shared" si="1"/>
        <v>0</v>
      </c>
      <c r="N17" s="261">
        <f t="shared" si="2"/>
        <v>0</v>
      </c>
      <c r="O17" s="195"/>
      <c r="P17" s="191">
        <f>106</f>
        <v>106</v>
      </c>
      <c r="Q17" s="195"/>
      <c r="R17" s="191">
        <f t="shared" si="3"/>
        <v>106</v>
      </c>
      <c r="S17" s="195"/>
      <c r="T17" s="195"/>
      <c r="U17" s="195"/>
      <c r="V17" s="195"/>
      <c r="W17" s="191">
        <f t="shared" si="4"/>
        <v>0</v>
      </c>
      <c r="X17" s="199">
        <f t="shared" si="5"/>
        <v>106</v>
      </c>
      <c r="Y17" s="203">
        <f t="shared" si="6"/>
        <v>106</v>
      </c>
    </row>
    <row r="18" spans="1:25" x14ac:dyDescent="0.25">
      <c r="A18" s="194" t="s">
        <v>29</v>
      </c>
      <c r="B18" s="268">
        <f>(((((B12)+(B13))+(B14))+(B15))+(B16))+(B17)</f>
        <v>0</v>
      </c>
      <c r="C18" s="268">
        <f>(((((C12)+(C13))+(C14))+(C15))+(C16))+(C17)</f>
        <v>0</v>
      </c>
      <c r="D18" s="196">
        <f>(((((D12)+(D13))+(D14))+(D15))+(D16))+(D17)</f>
        <v>0</v>
      </c>
      <c r="E18" s="268">
        <f>(((((E12)+(E13))+(E14))+(E15))+(E16))+(E17)</f>
        <v>0</v>
      </c>
      <c r="F18" s="196">
        <f>(((((F12)+(F13))+(F14))+(F15))+(F16))+(F17)</f>
        <v>19.190000000000001</v>
      </c>
      <c r="G18" s="196">
        <f t="shared" si="0"/>
        <v>19.190000000000001</v>
      </c>
      <c r="H18" s="268">
        <f>(((((H12)+(H13))+(H14))+(H15))+(H16))+(H17)</f>
        <v>0</v>
      </c>
      <c r="I18" s="196">
        <f>(((((I12)+(I13))+(I14))+(I15))+(I16))+(I17)</f>
        <v>0</v>
      </c>
      <c r="J18" s="268">
        <f>(((((J12)+(J13))+(J14))+(J15))+(J16))+(J17)</f>
        <v>0</v>
      </c>
      <c r="K18" s="268">
        <f>(((((K12)+(K13))+(K14))+(K15))+(K16))+(K17)</f>
        <v>0</v>
      </c>
      <c r="L18" s="268">
        <f>(((((L12)+(L13))+(L14))+(L15))+(L16))+(L17)</f>
        <v>0</v>
      </c>
      <c r="M18" s="196">
        <f t="shared" si="1"/>
        <v>0</v>
      </c>
      <c r="N18" s="262">
        <f t="shared" si="2"/>
        <v>19.190000000000001</v>
      </c>
      <c r="O18" s="196">
        <f>(((((O12)+(O13))+(O14))+(O15))+(O16))+(O17)</f>
        <v>0</v>
      </c>
      <c r="P18" s="196">
        <f>(((((P12)+(P13))+(P14))+(P15))+(P16))+(P17)</f>
        <v>72497.540000000008</v>
      </c>
      <c r="Q18" s="196">
        <f>(((((Q12)+(Q13))+(Q14))+(Q15))+(Q16))+(Q17)</f>
        <v>165</v>
      </c>
      <c r="R18" s="196">
        <f t="shared" si="3"/>
        <v>72662.540000000008</v>
      </c>
      <c r="S18" s="196">
        <f>(((((S12)+(S13))+(S14))+(S15))+(S16))+(S17)</f>
        <v>0</v>
      </c>
      <c r="T18" s="196">
        <f>(((((T12)+(T13))+(T14))+(T15))+(T16))+(T17)</f>
        <v>0</v>
      </c>
      <c r="U18" s="196">
        <f>(((((U12)+(U13))+(U14))+(U15))+(U16))+(U17)</f>
        <v>0</v>
      </c>
      <c r="V18" s="196">
        <f>(((((V12)+(V13))+(V14))+(V15))+(V16))+(V17)</f>
        <v>0</v>
      </c>
      <c r="W18" s="196">
        <f t="shared" si="4"/>
        <v>0</v>
      </c>
      <c r="X18" s="200">
        <f>((O18)+(R18))+(W18)</f>
        <v>72662.540000000008</v>
      </c>
      <c r="Y18" s="204">
        <f t="shared" si="6"/>
        <v>72681.73000000001</v>
      </c>
    </row>
    <row r="19" spans="1:25" x14ac:dyDescent="0.25">
      <c r="A19" s="194" t="s">
        <v>30</v>
      </c>
      <c r="B19" s="266"/>
      <c r="C19" s="266"/>
      <c r="D19" s="195"/>
      <c r="E19" s="266"/>
      <c r="F19" s="195"/>
      <c r="G19" s="191">
        <f t="shared" si="0"/>
        <v>0</v>
      </c>
      <c r="H19" s="266"/>
      <c r="I19" s="195"/>
      <c r="J19" s="266"/>
      <c r="K19" s="266"/>
      <c r="L19" s="266"/>
      <c r="M19" s="191">
        <f t="shared" si="1"/>
        <v>0</v>
      </c>
      <c r="N19" s="261">
        <f t="shared" si="2"/>
        <v>0</v>
      </c>
      <c r="O19" s="195"/>
      <c r="P19" s="195"/>
      <c r="Q19" s="195"/>
      <c r="R19" s="191">
        <f t="shared" si="3"/>
        <v>0</v>
      </c>
      <c r="S19" s="195"/>
      <c r="T19" s="195"/>
      <c r="U19" s="195"/>
      <c r="V19" s="195"/>
      <c r="W19" s="191">
        <f t="shared" si="4"/>
        <v>0</v>
      </c>
      <c r="X19" s="199">
        <f t="shared" si="5"/>
        <v>0</v>
      </c>
      <c r="Y19" s="203">
        <f t="shared" si="6"/>
        <v>0</v>
      </c>
    </row>
    <row r="20" spans="1:25" x14ac:dyDescent="0.25">
      <c r="A20" s="194" t="s">
        <v>587</v>
      </c>
      <c r="B20" s="266"/>
      <c r="C20" s="266"/>
      <c r="D20" s="195"/>
      <c r="E20" s="266"/>
      <c r="F20" s="195"/>
      <c r="G20" s="191">
        <f t="shared" si="0"/>
        <v>0</v>
      </c>
      <c r="H20" s="266"/>
      <c r="I20" s="195"/>
      <c r="J20" s="266"/>
      <c r="K20" s="266"/>
      <c r="L20" s="266"/>
      <c r="M20" s="191">
        <f t="shared" si="1"/>
        <v>0</v>
      </c>
      <c r="N20" s="261">
        <f t="shared" si="2"/>
        <v>0</v>
      </c>
      <c r="O20" s="195"/>
      <c r="P20" s="195"/>
      <c r="Q20" s="195"/>
      <c r="R20" s="191">
        <f t="shared" si="3"/>
        <v>0</v>
      </c>
      <c r="S20" s="195"/>
      <c r="T20" s="191">
        <f>79.21</f>
        <v>79.209999999999994</v>
      </c>
      <c r="U20" s="195"/>
      <c r="V20" s="195"/>
      <c r="W20" s="191">
        <f t="shared" si="4"/>
        <v>79.209999999999994</v>
      </c>
      <c r="X20" s="199">
        <f t="shared" si="5"/>
        <v>79.209999999999994</v>
      </c>
      <c r="Y20" s="203">
        <f t="shared" si="6"/>
        <v>79.209999999999994</v>
      </c>
    </row>
    <row r="21" spans="1:25" x14ac:dyDescent="0.25">
      <c r="A21" s="194" t="s">
        <v>464</v>
      </c>
      <c r="B21" s="266"/>
      <c r="C21" s="266"/>
      <c r="D21" s="195"/>
      <c r="E21" s="266"/>
      <c r="F21" s="195"/>
      <c r="G21" s="191">
        <f t="shared" si="0"/>
        <v>0</v>
      </c>
      <c r="H21" s="266"/>
      <c r="I21" s="195"/>
      <c r="J21" s="266"/>
      <c r="K21" s="267">
        <f>259.9+10</f>
        <v>269.89999999999998</v>
      </c>
      <c r="L21" s="266"/>
      <c r="M21" s="191">
        <f t="shared" si="1"/>
        <v>269.89999999999998</v>
      </c>
      <c r="N21" s="261">
        <f t="shared" si="2"/>
        <v>269.89999999999998</v>
      </c>
      <c r="O21" s="195"/>
      <c r="P21" s="195"/>
      <c r="Q21" s="195"/>
      <c r="R21" s="191">
        <f t="shared" si="3"/>
        <v>0</v>
      </c>
      <c r="S21" s="195"/>
      <c r="T21" s="195"/>
      <c r="U21" s="195"/>
      <c r="V21" s="195"/>
      <c r="W21" s="191">
        <f t="shared" si="4"/>
        <v>0</v>
      </c>
      <c r="X21" s="199">
        <f t="shared" si="5"/>
        <v>0</v>
      </c>
      <c r="Y21" s="203">
        <f t="shared" si="6"/>
        <v>269.89999999999998</v>
      </c>
    </row>
    <row r="22" spans="1:25" x14ac:dyDescent="0.25">
      <c r="A22" s="194" t="s">
        <v>465</v>
      </c>
      <c r="B22" s="266"/>
      <c r="C22" s="266"/>
      <c r="D22" s="195"/>
      <c r="E22" s="266"/>
      <c r="F22" s="195"/>
      <c r="G22" s="191">
        <f t="shared" si="0"/>
        <v>0</v>
      </c>
      <c r="H22" s="266"/>
      <c r="I22" s="195"/>
      <c r="J22" s="267">
        <f>100</f>
        <v>100</v>
      </c>
      <c r="K22" s="266"/>
      <c r="L22" s="267">
        <f>156.65</f>
        <v>156.65</v>
      </c>
      <c r="M22" s="191">
        <f t="shared" si="1"/>
        <v>256.64999999999998</v>
      </c>
      <c r="N22" s="261">
        <f t="shared" si="2"/>
        <v>256.64999999999998</v>
      </c>
      <c r="O22" s="195"/>
      <c r="P22" s="195"/>
      <c r="Q22" s="195"/>
      <c r="R22" s="191">
        <f t="shared" si="3"/>
        <v>0</v>
      </c>
      <c r="S22" s="195"/>
      <c r="T22" s="195"/>
      <c r="U22" s="195"/>
      <c r="V22" s="191">
        <f>951.9</f>
        <v>951.9</v>
      </c>
      <c r="W22" s="191">
        <f t="shared" si="4"/>
        <v>951.9</v>
      </c>
      <c r="X22" s="199">
        <f t="shared" si="5"/>
        <v>951.9</v>
      </c>
      <c r="Y22" s="203">
        <f t="shared" si="6"/>
        <v>1208.55</v>
      </c>
    </row>
    <row r="23" spans="1:25" x14ac:dyDescent="0.25">
      <c r="A23" s="194" t="s">
        <v>32</v>
      </c>
      <c r="B23" s="268">
        <f>(((B19)+(B20))+(B21))+(B22)</f>
        <v>0</v>
      </c>
      <c r="C23" s="268">
        <f>(((C19)+(C20))+(C21))+(C22)</f>
        <v>0</v>
      </c>
      <c r="D23" s="196">
        <f>(((D19)+(D20))+(D21))+(D22)</f>
        <v>0</v>
      </c>
      <c r="E23" s="268">
        <f>(((E19)+(E20))+(E21))+(E22)</f>
        <v>0</v>
      </c>
      <c r="F23" s="196">
        <f>(((F19)+(F20))+(F21))+(F22)</f>
        <v>0</v>
      </c>
      <c r="G23" s="196">
        <f t="shared" si="0"/>
        <v>0</v>
      </c>
      <c r="H23" s="268">
        <f>(((H19)+(H20))+(H21))+(H22)</f>
        <v>0</v>
      </c>
      <c r="I23" s="196">
        <f>(((I19)+(I20))+(I21))+(I22)</f>
        <v>0</v>
      </c>
      <c r="J23" s="268">
        <f>(((J19)+(J20))+(J21))+(J22)</f>
        <v>100</v>
      </c>
      <c r="K23" s="268">
        <f>(((K19)+(K20))+(K21))+(K22)</f>
        <v>269.89999999999998</v>
      </c>
      <c r="L23" s="268">
        <f>(((L19)+(L20))+(L21))+(L22)</f>
        <v>156.65</v>
      </c>
      <c r="M23" s="196">
        <f t="shared" si="1"/>
        <v>526.54999999999995</v>
      </c>
      <c r="N23" s="262">
        <f t="shared" si="2"/>
        <v>526.54999999999995</v>
      </c>
      <c r="O23" s="196">
        <f>(((O19)+(O20))+(O21))+(O22)</f>
        <v>0</v>
      </c>
      <c r="P23" s="196">
        <f>(((P19)+(P20))+(P21))+(P22)</f>
        <v>0</v>
      </c>
      <c r="Q23" s="196">
        <f>(((Q19)+(Q20))+(Q21))+(Q22)</f>
        <v>0</v>
      </c>
      <c r="R23" s="196">
        <f t="shared" si="3"/>
        <v>0</v>
      </c>
      <c r="S23" s="196">
        <f>(((S19)+(S20))+(S21))+(S22)</f>
        <v>0</v>
      </c>
      <c r="T23" s="196">
        <f>(((T19)+(T20))+(T21))+(T22)</f>
        <v>79.209999999999994</v>
      </c>
      <c r="U23" s="196">
        <f>(((U19)+(U20))+(U21))+(U22)</f>
        <v>0</v>
      </c>
      <c r="V23" s="196">
        <f>(((V19)+(V20))+(V21))+(V22)</f>
        <v>951.9</v>
      </c>
      <c r="W23" s="196">
        <f t="shared" si="4"/>
        <v>1031.1099999999999</v>
      </c>
      <c r="X23" s="200">
        <f t="shared" si="5"/>
        <v>1031.1099999999999</v>
      </c>
      <c r="Y23" s="204">
        <f t="shared" si="6"/>
        <v>1557.6599999999999</v>
      </c>
    </row>
    <row r="24" spans="1:25" x14ac:dyDescent="0.25">
      <c r="A24" s="194" t="s">
        <v>33</v>
      </c>
      <c r="B24" s="266"/>
      <c r="C24" s="266"/>
      <c r="D24" s="195"/>
      <c r="E24" s="267">
        <f>3566.81</f>
        <v>3566.81</v>
      </c>
      <c r="F24" s="195"/>
      <c r="G24" s="191">
        <f t="shared" si="0"/>
        <v>3566.81</v>
      </c>
      <c r="H24" s="267">
        <f>2000</f>
        <v>2000</v>
      </c>
      <c r="I24" s="191">
        <f>1300</f>
        <v>1300</v>
      </c>
      <c r="J24" s="267">
        <f>14775.84-8500</f>
        <v>6275.84</v>
      </c>
      <c r="K24" s="266"/>
      <c r="L24" s="267">
        <f>2000</f>
        <v>2000</v>
      </c>
      <c r="M24" s="191">
        <f t="shared" si="1"/>
        <v>8275.84</v>
      </c>
      <c r="N24" s="261">
        <f t="shared" si="2"/>
        <v>15142.65</v>
      </c>
      <c r="O24" s="195"/>
      <c r="P24" s="191">
        <f>5378.65</f>
        <v>5378.65</v>
      </c>
      <c r="Q24" s="195"/>
      <c r="R24" s="191">
        <f t="shared" si="3"/>
        <v>5378.65</v>
      </c>
      <c r="S24" s="195">
        <v>8500</v>
      </c>
      <c r="T24" s="195"/>
      <c r="U24" s="195"/>
      <c r="V24" s="195"/>
      <c r="W24" s="191">
        <f t="shared" si="4"/>
        <v>8500</v>
      </c>
      <c r="X24" s="199">
        <f t="shared" si="5"/>
        <v>13878.65</v>
      </c>
      <c r="Y24" s="203">
        <f t="shared" si="6"/>
        <v>29021.3</v>
      </c>
    </row>
    <row r="25" spans="1:25" x14ac:dyDescent="0.25">
      <c r="A25" s="194" t="s">
        <v>34</v>
      </c>
      <c r="B25" s="266"/>
      <c r="C25" s="266"/>
      <c r="D25" s="195"/>
      <c r="E25" s="266"/>
      <c r="F25" s="195"/>
      <c r="G25" s="191">
        <f t="shared" si="0"/>
        <v>0</v>
      </c>
      <c r="H25" s="266"/>
      <c r="I25" s="191">
        <f>62.75</f>
        <v>62.75</v>
      </c>
      <c r="J25" s="266"/>
      <c r="K25" s="267">
        <f>12</f>
        <v>12</v>
      </c>
      <c r="L25" s="267">
        <f>247.33</f>
        <v>247.33</v>
      </c>
      <c r="M25" s="191">
        <f t="shared" si="1"/>
        <v>259.33000000000004</v>
      </c>
      <c r="N25" s="261">
        <f t="shared" si="2"/>
        <v>322.08000000000004</v>
      </c>
      <c r="O25" s="195"/>
      <c r="P25" s="191">
        <f>1076.22</f>
        <v>1076.22</v>
      </c>
      <c r="Q25" s="191">
        <f>489.45</f>
        <v>489.45</v>
      </c>
      <c r="R25" s="191">
        <f t="shared" si="3"/>
        <v>1565.67</v>
      </c>
      <c r="S25" s="191">
        <f>5</f>
        <v>5</v>
      </c>
      <c r="T25" s="195"/>
      <c r="U25" s="195"/>
      <c r="V25" s="191">
        <f>172</f>
        <v>172</v>
      </c>
      <c r="W25" s="191">
        <f t="shared" si="4"/>
        <v>177</v>
      </c>
      <c r="X25" s="199">
        <f t="shared" si="5"/>
        <v>1742.67</v>
      </c>
      <c r="Y25" s="203">
        <f t="shared" si="6"/>
        <v>2064.75</v>
      </c>
    </row>
    <row r="26" spans="1:25" x14ac:dyDescent="0.25">
      <c r="A26" s="194" t="s">
        <v>35</v>
      </c>
      <c r="B26" s="266"/>
      <c r="C26" s="266"/>
      <c r="D26" s="195"/>
      <c r="E26" s="266"/>
      <c r="F26" s="195"/>
      <c r="G26" s="191">
        <f t="shared" si="0"/>
        <v>0</v>
      </c>
      <c r="H26" s="266"/>
      <c r="I26" s="195"/>
      <c r="J26" s="266"/>
      <c r="K26" s="266"/>
      <c r="L26" s="266"/>
      <c r="M26" s="191">
        <f t="shared" si="1"/>
        <v>0</v>
      </c>
      <c r="N26" s="261">
        <f t="shared" si="2"/>
        <v>0</v>
      </c>
      <c r="O26" s="195"/>
      <c r="P26" s="195"/>
      <c r="Q26" s="195"/>
      <c r="R26" s="191">
        <f t="shared" si="3"/>
        <v>0</v>
      </c>
      <c r="S26" s="191">
        <f>1949.71</f>
        <v>1949.71</v>
      </c>
      <c r="T26" s="195"/>
      <c r="U26" s="195"/>
      <c r="V26" s="195"/>
      <c r="W26" s="191">
        <f t="shared" si="4"/>
        <v>1949.71</v>
      </c>
      <c r="X26" s="199">
        <f t="shared" si="5"/>
        <v>1949.71</v>
      </c>
      <c r="Y26" s="203">
        <f t="shared" si="6"/>
        <v>1949.71</v>
      </c>
    </row>
    <row r="27" spans="1:25" x14ac:dyDescent="0.25">
      <c r="A27" s="194" t="s">
        <v>37</v>
      </c>
      <c r="B27" s="268">
        <f>((((((B10)+(B11))+(B18))+(B23))+(B24))+(B25))+(B26)</f>
        <v>0</v>
      </c>
      <c r="C27" s="268">
        <f>((((((C10)+(C11))+(C18))+(C23))+(C24))+(C25))+(C26)</f>
        <v>1094.79</v>
      </c>
      <c r="D27" s="196">
        <f>((((((D10)+(D11))+(D18))+(D23))+(D24))+(D25))+(D26)</f>
        <v>400</v>
      </c>
      <c r="E27" s="268">
        <f>((((((E10)+(E11))+(E18))+(E23))+(E24))+(E25))+(E26)</f>
        <v>3566.81</v>
      </c>
      <c r="F27" s="196">
        <f>((((((F10)+(F11))+(F18))+(F23))+(F24))+(F25))+(F26)</f>
        <v>19.190000000000001</v>
      </c>
      <c r="G27" s="196">
        <f t="shared" si="0"/>
        <v>3986</v>
      </c>
      <c r="H27" s="268">
        <f>((((((H10)+(H11))+(H18))+(H23))+(H24))+(H25))+(H26)</f>
        <v>2112.8000000000002</v>
      </c>
      <c r="I27" s="196">
        <f>((((((I10)+(I11))+(I18))+(I23))+(I24))+(I25))+(I26)</f>
        <v>1621.94</v>
      </c>
      <c r="J27" s="268">
        <f>((((((J10)+(J11))+(J18))+(J23))+(J24))+(J25))+(J26)</f>
        <v>8375.84</v>
      </c>
      <c r="K27" s="268">
        <f>((((((K10)+(K11))+(K18))+(K23))+(K24))+(K25))+(K26)</f>
        <v>281.89999999999998</v>
      </c>
      <c r="L27" s="268">
        <f>((((((L10)+(L11))+(L18))+(L23))+(L24))+(L25))+(L26)</f>
        <v>2836.89</v>
      </c>
      <c r="M27" s="196">
        <f t="shared" si="1"/>
        <v>11494.63</v>
      </c>
      <c r="N27" s="262">
        <f t="shared" si="2"/>
        <v>20310.16</v>
      </c>
      <c r="O27" s="196">
        <f>((((((O10)+(O11))+(O18))+(O23))+(O24))+(O25))+(O26)</f>
        <v>0</v>
      </c>
      <c r="P27" s="196">
        <f>((((((P10)+(P11))+(P18))+(P23))+(P24))+(P25))+(P26)</f>
        <v>81317.09</v>
      </c>
      <c r="Q27" s="196">
        <f>((((((Q10)+(Q11))+(Q18))+(Q23))+(Q24))+(Q25))+(Q26)</f>
        <v>654.45000000000005</v>
      </c>
      <c r="R27" s="196">
        <f t="shared" si="3"/>
        <v>81971.539999999994</v>
      </c>
      <c r="S27" s="196">
        <f>((((((S10)+(S11))+(S18))+(S23))+(S24))+(S25))+(S26)</f>
        <v>10577.7</v>
      </c>
      <c r="T27" s="196">
        <f>((((((T10)+(T11))+(T18))+(T23))+(T24))+(T25))+(T26)</f>
        <v>79.209999999999994</v>
      </c>
      <c r="U27" s="196">
        <f>((((((U10)+(U11))+(U18))+(U23))+(U24))+(U25))+(U26)</f>
        <v>0</v>
      </c>
      <c r="V27" s="196">
        <f>((((((V10)+(V11))+(V18))+(V23))+(V24))+(V25))+(V26)</f>
        <v>1168.9000000000001</v>
      </c>
      <c r="W27" s="196">
        <f t="shared" si="4"/>
        <v>11825.81</v>
      </c>
      <c r="X27" s="200">
        <f t="shared" si="5"/>
        <v>93797.349999999991</v>
      </c>
      <c r="Y27" s="204">
        <f t="shared" si="6"/>
        <v>114107.51</v>
      </c>
    </row>
    <row r="28" spans="1:25" s="209" customFormat="1" x14ac:dyDescent="0.25">
      <c r="A28" s="206" t="s">
        <v>38</v>
      </c>
      <c r="B28" s="269">
        <f>(B27)-(0)</f>
        <v>0</v>
      </c>
      <c r="C28" s="269">
        <f>(C27)-(0)</f>
        <v>1094.79</v>
      </c>
      <c r="D28" s="180">
        <f>(D27)-(0)</f>
        <v>400</v>
      </c>
      <c r="E28" s="269">
        <f>(E27)-(0)</f>
        <v>3566.81</v>
      </c>
      <c r="F28" s="180">
        <f>(F27)-(0)</f>
        <v>19.190000000000001</v>
      </c>
      <c r="G28" s="180">
        <f t="shared" si="0"/>
        <v>3986</v>
      </c>
      <c r="H28" s="269">
        <f>(H27)-(0)</f>
        <v>2112.8000000000002</v>
      </c>
      <c r="I28" s="180">
        <f>(I27)-(0)</f>
        <v>1621.94</v>
      </c>
      <c r="J28" s="269">
        <f>(J27)-(0)</f>
        <v>8375.84</v>
      </c>
      <c r="K28" s="269">
        <f>(K27)-(0)</f>
        <v>281.89999999999998</v>
      </c>
      <c r="L28" s="269">
        <f>(L27)-(0)</f>
        <v>2836.89</v>
      </c>
      <c r="M28" s="180">
        <f>((J28)+(K28))+(L28)</f>
        <v>11494.63</v>
      </c>
      <c r="N28" s="263">
        <f t="shared" si="2"/>
        <v>20310.16</v>
      </c>
      <c r="O28" s="180">
        <f>(O27)-(0)</f>
        <v>0</v>
      </c>
      <c r="P28" s="180">
        <f>(P27)-(0)</f>
        <v>81317.09</v>
      </c>
      <c r="Q28" s="180">
        <f>(Q27)-(0)</f>
        <v>654.45000000000005</v>
      </c>
      <c r="R28" s="180">
        <f t="shared" si="3"/>
        <v>81971.539999999994</v>
      </c>
      <c r="S28" s="180">
        <f>(S27)-(0)</f>
        <v>10577.7</v>
      </c>
      <c r="T28" s="180">
        <f>(T27)-(0)</f>
        <v>79.209999999999994</v>
      </c>
      <c r="U28" s="180">
        <f>(U27)-(0)</f>
        <v>0</v>
      </c>
      <c r="V28" s="180">
        <f>(V27)-(0)</f>
        <v>1168.9000000000001</v>
      </c>
      <c r="W28" s="180">
        <f t="shared" si="4"/>
        <v>11825.81</v>
      </c>
      <c r="X28" s="207">
        <f t="shared" si="5"/>
        <v>93797.349999999991</v>
      </c>
      <c r="Y28" s="208">
        <f t="shared" si="6"/>
        <v>114107.51</v>
      </c>
    </row>
    <row r="29" spans="1:25" x14ac:dyDescent="0.25">
      <c r="A29" s="194" t="s">
        <v>39</v>
      </c>
      <c r="B29" s="266"/>
      <c r="C29" s="266"/>
      <c r="D29" s="195"/>
      <c r="E29" s="266"/>
      <c r="F29" s="195"/>
      <c r="G29" s="195"/>
      <c r="H29" s="266"/>
      <c r="I29" s="195"/>
      <c r="J29" s="266"/>
      <c r="K29" s="266"/>
      <c r="L29" s="266"/>
      <c r="M29" s="195"/>
      <c r="N29" s="260"/>
      <c r="O29" s="195"/>
      <c r="P29" s="195"/>
      <c r="Q29" s="195"/>
      <c r="R29" s="195"/>
      <c r="S29" s="195"/>
      <c r="T29" s="195"/>
      <c r="U29" s="195"/>
      <c r="V29" s="195"/>
      <c r="W29" s="195"/>
      <c r="X29" s="198"/>
      <c r="Y29" s="202"/>
    </row>
    <row r="30" spans="1:25" x14ac:dyDescent="0.25">
      <c r="A30" s="194" t="s">
        <v>588</v>
      </c>
      <c r="B30" s="266"/>
      <c r="C30" s="266"/>
      <c r="D30" s="195"/>
      <c r="E30" s="266"/>
      <c r="F30" s="195"/>
      <c r="G30" s="191">
        <f t="shared" ref="G30:G93" si="7">((D30)+(E30))+(F30)</f>
        <v>0</v>
      </c>
      <c r="H30" s="266"/>
      <c r="I30" s="195"/>
      <c r="J30" s="266"/>
      <c r="K30" s="266"/>
      <c r="L30" s="266"/>
      <c r="M30" s="191">
        <f t="shared" ref="M30:M93" si="8">((J30)+(K30))+(L30)</f>
        <v>0</v>
      </c>
      <c r="N30" s="261">
        <f t="shared" ref="N30:N93" si="9">(((((B30)+(C30))+(G30))+(H30))+(I30))+(M30)</f>
        <v>0</v>
      </c>
      <c r="O30" s="195"/>
      <c r="P30" s="195"/>
      <c r="Q30" s="195"/>
      <c r="R30" s="191">
        <f t="shared" ref="R30:R93" si="10">(P30)+(Q30)</f>
        <v>0</v>
      </c>
      <c r="S30" s="195"/>
      <c r="T30" s="195"/>
      <c r="U30" s="195"/>
      <c r="V30" s="195"/>
      <c r="W30" s="191">
        <f t="shared" ref="W30:W93" si="11">(((S30)+(T30))+(U30))+(V30)</f>
        <v>0</v>
      </c>
      <c r="X30" s="199">
        <f t="shared" ref="X30:X93" si="12">((O30)+(R30))+(W30)</f>
        <v>0</v>
      </c>
      <c r="Y30" s="203">
        <f t="shared" ref="Y30:Y93" si="13">(N30)+(X30)</f>
        <v>0</v>
      </c>
    </row>
    <row r="31" spans="1:25" x14ac:dyDescent="0.25">
      <c r="A31" s="194" t="s">
        <v>41</v>
      </c>
      <c r="B31" s="266"/>
      <c r="C31" s="266"/>
      <c r="D31" s="195"/>
      <c r="E31" s="266"/>
      <c r="F31" s="195"/>
      <c r="G31" s="191">
        <f t="shared" si="7"/>
        <v>0</v>
      </c>
      <c r="H31" s="266"/>
      <c r="I31" s="195"/>
      <c r="J31" s="266"/>
      <c r="K31" s="266"/>
      <c r="L31" s="266"/>
      <c r="M31" s="191">
        <f t="shared" si="8"/>
        <v>0</v>
      </c>
      <c r="N31" s="261">
        <f t="shared" si="9"/>
        <v>0</v>
      </c>
      <c r="O31" s="195"/>
      <c r="P31" s="191">
        <f>41361.5</f>
        <v>41361.5</v>
      </c>
      <c r="Q31" s="195"/>
      <c r="R31" s="191">
        <f t="shared" si="10"/>
        <v>41361.5</v>
      </c>
      <c r="S31" s="195"/>
      <c r="T31" s="195"/>
      <c r="U31" s="195"/>
      <c r="V31" s="195"/>
      <c r="W31" s="191">
        <f t="shared" si="11"/>
        <v>0</v>
      </c>
      <c r="X31" s="199">
        <f t="shared" si="12"/>
        <v>41361.5</v>
      </c>
      <c r="Y31" s="203">
        <f t="shared" si="13"/>
        <v>41361.5</v>
      </c>
    </row>
    <row r="32" spans="1:25" x14ac:dyDescent="0.25">
      <c r="A32" s="194" t="s">
        <v>42</v>
      </c>
      <c r="B32" s="266"/>
      <c r="C32" s="266"/>
      <c r="D32" s="195"/>
      <c r="E32" s="266"/>
      <c r="F32" s="195"/>
      <c r="G32" s="191">
        <f t="shared" si="7"/>
        <v>0</v>
      </c>
      <c r="H32" s="266"/>
      <c r="I32" s="195"/>
      <c r="J32" s="266"/>
      <c r="K32" s="266"/>
      <c r="L32" s="266"/>
      <c r="M32" s="191">
        <f t="shared" si="8"/>
        <v>0</v>
      </c>
      <c r="N32" s="261">
        <f t="shared" si="9"/>
        <v>0</v>
      </c>
      <c r="O32" s="195"/>
      <c r="P32" s="191">
        <f>5181.38+0.04</f>
        <v>5181.42</v>
      </c>
      <c r="Q32" s="195"/>
      <c r="R32" s="191">
        <f t="shared" si="10"/>
        <v>5181.42</v>
      </c>
      <c r="S32" s="195"/>
      <c r="T32" s="195"/>
      <c r="U32" s="195"/>
      <c r="V32" s="195"/>
      <c r="W32" s="191">
        <f t="shared" si="11"/>
        <v>0</v>
      </c>
      <c r="X32" s="199">
        <f t="shared" si="12"/>
        <v>5181.42</v>
      </c>
      <c r="Y32" s="203">
        <f t="shared" si="13"/>
        <v>5181.42</v>
      </c>
    </row>
    <row r="33" spans="1:25" x14ac:dyDescent="0.25">
      <c r="A33" s="194" t="s">
        <v>43</v>
      </c>
      <c r="B33" s="266"/>
      <c r="C33" s="266"/>
      <c r="D33" s="191">
        <f>552.2</f>
        <v>552.20000000000005</v>
      </c>
      <c r="E33" s="266"/>
      <c r="F33" s="195"/>
      <c r="G33" s="191">
        <f t="shared" si="7"/>
        <v>552.20000000000005</v>
      </c>
      <c r="H33" s="267">
        <f>1306.89</f>
        <v>1306.8900000000001</v>
      </c>
      <c r="I33" s="195"/>
      <c r="J33" s="267">
        <f>1060</f>
        <v>1060</v>
      </c>
      <c r="K33" s="267">
        <f>79.5</f>
        <v>79.5</v>
      </c>
      <c r="L33" s="266"/>
      <c r="M33" s="191">
        <f t="shared" si="8"/>
        <v>1139.5</v>
      </c>
      <c r="N33" s="261">
        <f t="shared" si="9"/>
        <v>2998.59</v>
      </c>
      <c r="O33" s="195"/>
      <c r="P33" s="195"/>
      <c r="Q33" s="195"/>
      <c r="R33" s="191">
        <f t="shared" si="10"/>
        <v>0</v>
      </c>
      <c r="S33" s="191">
        <f>7467.87</f>
        <v>7467.87</v>
      </c>
      <c r="T33" s="195"/>
      <c r="U33" s="191">
        <f>12631.9</f>
        <v>12631.9</v>
      </c>
      <c r="V33" s="195"/>
      <c r="W33" s="191">
        <f t="shared" si="11"/>
        <v>20099.77</v>
      </c>
      <c r="X33" s="199">
        <f t="shared" si="12"/>
        <v>20099.77</v>
      </c>
      <c r="Y33" s="203">
        <f t="shared" si="13"/>
        <v>23098.36</v>
      </c>
    </row>
    <row r="34" spans="1:25" x14ac:dyDescent="0.25">
      <c r="A34" s="194" t="s">
        <v>44</v>
      </c>
      <c r="B34" s="266"/>
      <c r="C34" s="266"/>
      <c r="D34" s="195"/>
      <c r="E34" s="266"/>
      <c r="F34" s="195"/>
      <c r="G34" s="191">
        <f t="shared" si="7"/>
        <v>0</v>
      </c>
      <c r="H34" s="266"/>
      <c r="I34" s="195"/>
      <c r="J34" s="266"/>
      <c r="K34" s="266"/>
      <c r="L34" s="267">
        <f>4103.5</f>
        <v>4103.5</v>
      </c>
      <c r="M34" s="191">
        <f t="shared" si="8"/>
        <v>4103.5</v>
      </c>
      <c r="N34" s="261">
        <f t="shared" si="9"/>
        <v>4103.5</v>
      </c>
      <c r="O34" s="195"/>
      <c r="P34" s="191">
        <f>1822.5</f>
        <v>1822.5</v>
      </c>
      <c r="Q34" s="195"/>
      <c r="R34" s="191">
        <f t="shared" si="10"/>
        <v>1822.5</v>
      </c>
      <c r="S34" s="195"/>
      <c r="T34" s="195"/>
      <c r="U34" s="195"/>
      <c r="V34" s="195"/>
      <c r="W34" s="191">
        <f t="shared" si="11"/>
        <v>0</v>
      </c>
      <c r="X34" s="199">
        <f t="shared" si="12"/>
        <v>1822.5</v>
      </c>
      <c r="Y34" s="203">
        <f t="shared" si="13"/>
        <v>5926</v>
      </c>
    </row>
    <row r="35" spans="1:25" x14ac:dyDescent="0.25">
      <c r="A35" s="194" t="s">
        <v>45</v>
      </c>
      <c r="B35" s="266"/>
      <c r="C35" s="266"/>
      <c r="D35" s="195"/>
      <c r="E35" s="266"/>
      <c r="F35" s="195"/>
      <c r="G35" s="191">
        <f t="shared" si="7"/>
        <v>0</v>
      </c>
      <c r="H35" s="266"/>
      <c r="I35" s="195"/>
      <c r="J35" s="266"/>
      <c r="K35" s="266"/>
      <c r="L35" s="266"/>
      <c r="M35" s="191">
        <f t="shared" si="8"/>
        <v>0</v>
      </c>
      <c r="N35" s="261">
        <f t="shared" si="9"/>
        <v>0</v>
      </c>
      <c r="O35" s="195"/>
      <c r="P35" s="191">
        <v>0</v>
      </c>
      <c r="Q35" s="195"/>
      <c r="R35" s="191">
        <f t="shared" si="10"/>
        <v>0</v>
      </c>
      <c r="S35" s="195"/>
      <c r="T35" s="195"/>
      <c r="U35" s="191"/>
      <c r="V35" s="195"/>
      <c r="W35" s="191">
        <f t="shared" si="11"/>
        <v>0</v>
      </c>
      <c r="X35" s="199">
        <f t="shared" si="12"/>
        <v>0</v>
      </c>
      <c r="Y35" s="203">
        <f t="shared" si="13"/>
        <v>0</v>
      </c>
    </row>
    <row r="36" spans="1:25" x14ac:dyDescent="0.25">
      <c r="A36" s="194" t="s">
        <v>362</v>
      </c>
      <c r="B36" s="266"/>
      <c r="C36" s="266"/>
      <c r="D36" s="195"/>
      <c r="E36" s="266"/>
      <c r="F36" s="195"/>
      <c r="G36" s="191">
        <f t="shared" si="7"/>
        <v>0</v>
      </c>
      <c r="H36" s="266"/>
      <c r="I36" s="195"/>
      <c r="J36" s="266"/>
      <c r="K36" s="266"/>
      <c r="L36" s="266"/>
      <c r="M36" s="191">
        <f t="shared" si="8"/>
        <v>0</v>
      </c>
      <c r="N36" s="261">
        <f t="shared" si="9"/>
        <v>0</v>
      </c>
      <c r="O36" s="195"/>
      <c r="P36" s="191">
        <f>1402.37</f>
        <v>1402.37</v>
      </c>
      <c r="Q36" s="195"/>
      <c r="R36" s="191">
        <f t="shared" si="10"/>
        <v>1402.37</v>
      </c>
      <c r="S36" s="195"/>
      <c r="T36" s="195"/>
      <c r="U36" s="195"/>
      <c r="V36" s="195"/>
      <c r="W36" s="191">
        <f t="shared" si="11"/>
        <v>0</v>
      </c>
      <c r="X36" s="199">
        <f t="shared" si="12"/>
        <v>1402.37</v>
      </c>
      <c r="Y36" s="203">
        <f t="shared" si="13"/>
        <v>1402.37</v>
      </c>
    </row>
    <row r="37" spans="1:25" x14ac:dyDescent="0.25">
      <c r="A37" s="194" t="s">
        <v>589</v>
      </c>
      <c r="B37" s="268">
        <f>((((((B30)+(B31))+(B32))+(B33))+(B34))+(B35))+(B36)</f>
        <v>0</v>
      </c>
      <c r="C37" s="268">
        <f>((((((C30)+(C31))+(C32))+(C33))+(C34))+(C35))+(C36)</f>
        <v>0</v>
      </c>
      <c r="D37" s="196">
        <f>((((((D30)+(D31))+(D32))+(D33))+(D34))+(D35))+(D36)</f>
        <v>552.20000000000005</v>
      </c>
      <c r="E37" s="268">
        <f>((((((E30)+(E31))+(E32))+(E33))+(E34))+(E35))+(E36)</f>
        <v>0</v>
      </c>
      <c r="F37" s="196">
        <f>((((((F30)+(F31))+(F32))+(F33))+(F34))+(F35))+(F36)</f>
        <v>0</v>
      </c>
      <c r="G37" s="196">
        <f t="shared" si="7"/>
        <v>552.20000000000005</v>
      </c>
      <c r="H37" s="268">
        <f>((((((H30)+(H31))+(H32))+(H33))+(H34))+(H35))+(H36)</f>
        <v>1306.8900000000001</v>
      </c>
      <c r="I37" s="196">
        <f>((((((I30)+(I31))+(I32))+(I33))+(I34))+(I35))+(I36)</f>
        <v>0</v>
      </c>
      <c r="J37" s="268">
        <f>((((((J30)+(J31))+(J32))+(J33))+(J34))+(J35))+(J36)</f>
        <v>1060</v>
      </c>
      <c r="K37" s="268">
        <f>((((((K30)+(K31))+(K32))+(K33))+(K34))+(K35))+(K36)</f>
        <v>79.5</v>
      </c>
      <c r="L37" s="268">
        <f>((((((L30)+(L31))+(L32))+(L33))+(L34))+(L35))+(L36)</f>
        <v>4103.5</v>
      </c>
      <c r="M37" s="196">
        <f t="shared" si="8"/>
        <v>5243</v>
      </c>
      <c r="N37" s="262">
        <f t="shared" si="9"/>
        <v>7102.09</v>
      </c>
      <c r="O37" s="196">
        <f>((((((O30)+(O31))+(O32))+(O33))+(O34))+(O35))+(O36)</f>
        <v>0</v>
      </c>
      <c r="P37" s="196">
        <f>((((((P30)+(P31))+(P32))+(P33))+(P34))+(P35))+(P36)</f>
        <v>49767.79</v>
      </c>
      <c r="Q37" s="196">
        <f>((((((Q30)+(Q31))+(Q32))+(Q33))+(Q34))+(Q35))+(Q36)</f>
        <v>0</v>
      </c>
      <c r="R37" s="196">
        <f t="shared" si="10"/>
        <v>49767.79</v>
      </c>
      <c r="S37" s="196">
        <f>((((((S30)+(S31))+(S32))+(S33))+(S34))+(S35))+(S36)</f>
        <v>7467.87</v>
      </c>
      <c r="T37" s="196">
        <f>((((((T30)+(T31))+(T32))+(T33))+(T34))+(T35))+(T36)</f>
        <v>0</v>
      </c>
      <c r="U37" s="196">
        <f>((((((U30)+(U31))+(U32))+(U33))+(U34))+(U35))+(U36)</f>
        <v>12631.9</v>
      </c>
      <c r="V37" s="196">
        <f>((((((V30)+(V31))+(V32))+(V33))+(V34))+(V35))+(V36)</f>
        <v>0</v>
      </c>
      <c r="W37" s="196">
        <f t="shared" si="11"/>
        <v>20099.77</v>
      </c>
      <c r="X37" s="200">
        <f t="shared" si="12"/>
        <v>69867.56</v>
      </c>
      <c r="Y37" s="204">
        <f t="shared" si="13"/>
        <v>76969.649999999994</v>
      </c>
    </row>
    <row r="38" spans="1:25" x14ac:dyDescent="0.25">
      <c r="A38" s="194" t="s">
        <v>590</v>
      </c>
      <c r="B38" s="266"/>
      <c r="C38" s="266"/>
      <c r="D38" s="195"/>
      <c r="E38" s="266"/>
      <c r="F38" s="195"/>
      <c r="G38" s="191">
        <f t="shared" si="7"/>
        <v>0</v>
      </c>
      <c r="H38" s="266"/>
      <c r="I38" s="195"/>
      <c r="J38" s="266"/>
      <c r="K38" s="266"/>
      <c r="L38" s="266"/>
      <c r="M38" s="191">
        <f t="shared" si="8"/>
        <v>0</v>
      </c>
      <c r="N38" s="261">
        <f t="shared" si="9"/>
        <v>0</v>
      </c>
      <c r="O38" s="195"/>
      <c r="P38" s="195"/>
      <c r="Q38" s="195"/>
      <c r="R38" s="191">
        <f t="shared" si="10"/>
        <v>0</v>
      </c>
      <c r="S38" s="195"/>
      <c r="T38" s="195"/>
      <c r="U38" s="195"/>
      <c r="V38" s="195"/>
      <c r="W38" s="191">
        <f t="shared" si="11"/>
        <v>0</v>
      </c>
      <c r="X38" s="199">
        <f t="shared" si="12"/>
        <v>0</v>
      </c>
      <c r="Y38" s="203">
        <f t="shared" si="13"/>
        <v>0</v>
      </c>
    </row>
    <row r="39" spans="1:25" x14ac:dyDescent="0.25">
      <c r="A39" s="194" t="s">
        <v>591</v>
      </c>
      <c r="B39" s="266"/>
      <c r="C39" s="266"/>
      <c r="D39" s="195"/>
      <c r="E39" s="266"/>
      <c r="F39" s="195"/>
      <c r="G39" s="191">
        <f t="shared" si="7"/>
        <v>0</v>
      </c>
      <c r="H39" s="266"/>
      <c r="I39" s="191">
        <f>119.25</f>
        <v>119.25</v>
      </c>
      <c r="J39" s="267">
        <f>5082.09</f>
        <v>5082.09</v>
      </c>
      <c r="K39" s="267">
        <f>583</f>
        <v>583</v>
      </c>
      <c r="L39" s="267">
        <f>432.72</f>
        <v>432.72</v>
      </c>
      <c r="M39" s="191">
        <f t="shared" si="8"/>
        <v>6097.81</v>
      </c>
      <c r="N39" s="261">
        <f t="shared" si="9"/>
        <v>6217.06</v>
      </c>
      <c r="O39" s="195"/>
      <c r="P39" s="191">
        <f>132.5</f>
        <v>132.5</v>
      </c>
      <c r="Q39" s="195"/>
      <c r="R39" s="191">
        <f t="shared" si="10"/>
        <v>132.5</v>
      </c>
      <c r="S39" s="195"/>
      <c r="T39" s="195"/>
      <c r="U39" s="195"/>
      <c r="V39" s="195"/>
      <c r="W39" s="191">
        <f t="shared" si="11"/>
        <v>0</v>
      </c>
      <c r="X39" s="199">
        <f t="shared" si="12"/>
        <v>132.5</v>
      </c>
      <c r="Y39" s="203">
        <f t="shared" si="13"/>
        <v>6349.56</v>
      </c>
    </row>
    <row r="40" spans="1:25" x14ac:dyDescent="0.25">
      <c r="A40" s="194" t="s">
        <v>592</v>
      </c>
      <c r="B40" s="268">
        <f>(B38)+(B39)</f>
        <v>0</v>
      </c>
      <c r="C40" s="268">
        <f>(C38)+(C39)</f>
        <v>0</v>
      </c>
      <c r="D40" s="196">
        <f>(D38)+(D39)</f>
        <v>0</v>
      </c>
      <c r="E40" s="268">
        <f>(E38)+(E39)</f>
        <v>0</v>
      </c>
      <c r="F40" s="196">
        <f>(F38)+(F39)</f>
        <v>0</v>
      </c>
      <c r="G40" s="196">
        <f t="shared" si="7"/>
        <v>0</v>
      </c>
      <c r="H40" s="268">
        <f>(H38)+(H39)</f>
        <v>0</v>
      </c>
      <c r="I40" s="196">
        <f>(I38)+(I39)</f>
        <v>119.25</v>
      </c>
      <c r="J40" s="268">
        <f>(J38)+(J39)</f>
        <v>5082.09</v>
      </c>
      <c r="K40" s="268">
        <f>(K38)+(K39)</f>
        <v>583</v>
      </c>
      <c r="L40" s="268">
        <f>(L38)+(L39)</f>
        <v>432.72</v>
      </c>
      <c r="M40" s="196">
        <f t="shared" si="8"/>
        <v>6097.81</v>
      </c>
      <c r="N40" s="262">
        <f t="shared" si="9"/>
        <v>6217.06</v>
      </c>
      <c r="O40" s="196">
        <f>(O38)+(O39)</f>
        <v>0</v>
      </c>
      <c r="P40" s="196">
        <f>(P38)+(P39)</f>
        <v>132.5</v>
      </c>
      <c r="Q40" s="196">
        <f>(Q38)+(Q39)</f>
        <v>0</v>
      </c>
      <c r="R40" s="196">
        <f t="shared" si="10"/>
        <v>132.5</v>
      </c>
      <c r="S40" s="196">
        <f>(S38)+(S39)</f>
        <v>0</v>
      </c>
      <c r="T40" s="196">
        <f>(T38)+(T39)</f>
        <v>0</v>
      </c>
      <c r="U40" s="196">
        <f>(U38)+(U39)</f>
        <v>0</v>
      </c>
      <c r="V40" s="196">
        <f>(V38)+(V39)</f>
        <v>0</v>
      </c>
      <c r="W40" s="196">
        <f t="shared" si="11"/>
        <v>0</v>
      </c>
      <c r="X40" s="200">
        <f t="shared" si="12"/>
        <v>132.5</v>
      </c>
      <c r="Y40" s="204">
        <f t="shared" si="13"/>
        <v>6349.56</v>
      </c>
    </row>
    <row r="41" spans="1:25" x14ac:dyDescent="0.25">
      <c r="A41" s="194" t="s">
        <v>47</v>
      </c>
      <c r="B41" s="266"/>
      <c r="C41" s="266"/>
      <c r="D41" s="195"/>
      <c r="E41" s="266"/>
      <c r="F41" s="195"/>
      <c r="G41" s="191">
        <f t="shared" si="7"/>
        <v>0</v>
      </c>
      <c r="H41" s="266"/>
      <c r="I41" s="195"/>
      <c r="J41" s="266"/>
      <c r="K41" s="266"/>
      <c r="L41" s="266"/>
      <c r="M41" s="191">
        <f t="shared" si="8"/>
        <v>0</v>
      </c>
      <c r="N41" s="261">
        <f t="shared" si="9"/>
        <v>0</v>
      </c>
      <c r="O41" s="195"/>
      <c r="P41" s="195"/>
      <c r="Q41" s="195"/>
      <c r="R41" s="191">
        <f t="shared" si="10"/>
        <v>0</v>
      </c>
      <c r="S41" s="195"/>
      <c r="T41" s="195"/>
      <c r="U41" s="195"/>
      <c r="V41" s="195"/>
      <c r="W41" s="191">
        <f t="shared" si="11"/>
        <v>0</v>
      </c>
      <c r="X41" s="199">
        <f t="shared" si="12"/>
        <v>0</v>
      </c>
      <c r="Y41" s="203">
        <f t="shared" si="13"/>
        <v>0</v>
      </c>
    </row>
    <row r="42" spans="1:25" x14ac:dyDescent="0.25">
      <c r="A42" s="194" t="s">
        <v>48</v>
      </c>
      <c r="B42" s="266"/>
      <c r="C42" s="266"/>
      <c r="D42" s="195"/>
      <c r="E42" s="266"/>
      <c r="F42" s="195"/>
      <c r="G42" s="191">
        <f t="shared" si="7"/>
        <v>0</v>
      </c>
      <c r="H42" s="266"/>
      <c r="I42" s="195"/>
      <c r="J42" s="266"/>
      <c r="K42" s="266"/>
      <c r="L42" s="266"/>
      <c r="M42" s="191">
        <f t="shared" si="8"/>
        <v>0</v>
      </c>
      <c r="N42" s="261">
        <f t="shared" si="9"/>
        <v>0</v>
      </c>
      <c r="O42" s="195"/>
      <c r="P42" s="191">
        <f>2.2</f>
        <v>2.2000000000000002</v>
      </c>
      <c r="Q42" s="195"/>
      <c r="R42" s="191">
        <f t="shared" si="10"/>
        <v>2.2000000000000002</v>
      </c>
      <c r="S42" s="195"/>
      <c r="T42" s="195"/>
      <c r="U42" s="195"/>
      <c r="V42" s="195"/>
      <c r="W42" s="191">
        <f t="shared" si="11"/>
        <v>0</v>
      </c>
      <c r="X42" s="199">
        <f t="shared" si="12"/>
        <v>2.2000000000000002</v>
      </c>
      <c r="Y42" s="203">
        <f t="shared" si="13"/>
        <v>2.2000000000000002</v>
      </c>
    </row>
    <row r="43" spans="1:25" x14ac:dyDescent="0.25">
      <c r="A43" s="194" t="s">
        <v>363</v>
      </c>
      <c r="B43" s="266"/>
      <c r="C43" s="266"/>
      <c r="D43" s="195"/>
      <c r="E43" s="266"/>
      <c r="F43" s="195"/>
      <c r="G43" s="191">
        <f t="shared" si="7"/>
        <v>0</v>
      </c>
      <c r="H43" s="266"/>
      <c r="I43" s="195"/>
      <c r="J43" s="266"/>
      <c r="K43" s="266"/>
      <c r="L43" s="266"/>
      <c r="M43" s="191">
        <f t="shared" si="8"/>
        <v>0</v>
      </c>
      <c r="N43" s="261">
        <f t="shared" si="9"/>
        <v>0</v>
      </c>
      <c r="O43" s="195"/>
      <c r="P43" s="191">
        <f>535</f>
        <v>535</v>
      </c>
      <c r="Q43" s="195"/>
      <c r="R43" s="191">
        <f t="shared" si="10"/>
        <v>535</v>
      </c>
      <c r="S43" s="195"/>
      <c r="T43" s="195"/>
      <c r="U43" s="195"/>
      <c r="V43" s="195"/>
      <c r="W43" s="191">
        <f t="shared" si="11"/>
        <v>0</v>
      </c>
      <c r="X43" s="199">
        <f t="shared" si="12"/>
        <v>535</v>
      </c>
      <c r="Y43" s="203">
        <f t="shared" si="13"/>
        <v>535</v>
      </c>
    </row>
    <row r="44" spans="1:25" x14ac:dyDescent="0.25">
      <c r="A44" s="194" t="s">
        <v>50</v>
      </c>
      <c r="B44" s="266"/>
      <c r="C44" s="266"/>
      <c r="D44" s="191">
        <f>332.22</f>
        <v>332.22</v>
      </c>
      <c r="E44" s="266"/>
      <c r="F44" s="195"/>
      <c r="G44" s="191">
        <f t="shared" si="7"/>
        <v>332.22</v>
      </c>
      <c r="H44" s="266"/>
      <c r="I44" s="195"/>
      <c r="J44" s="266"/>
      <c r="K44" s="266"/>
      <c r="L44" s="266"/>
      <c r="M44" s="191">
        <f t="shared" si="8"/>
        <v>0</v>
      </c>
      <c r="N44" s="261">
        <f t="shared" si="9"/>
        <v>332.22</v>
      </c>
      <c r="O44" s="195"/>
      <c r="P44" s="191">
        <f>683.12</f>
        <v>683.12</v>
      </c>
      <c r="Q44" s="191">
        <f>16.9</f>
        <v>16.899999999999999</v>
      </c>
      <c r="R44" s="191">
        <f t="shared" si="10"/>
        <v>700.02</v>
      </c>
      <c r="S44" s="191">
        <f>32.4</f>
        <v>32.4</v>
      </c>
      <c r="T44" s="195"/>
      <c r="U44" s="195"/>
      <c r="V44" s="195"/>
      <c r="W44" s="191">
        <f t="shared" si="11"/>
        <v>32.4</v>
      </c>
      <c r="X44" s="199">
        <f t="shared" si="12"/>
        <v>732.42</v>
      </c>
      <c r="Y44" s="203">
        <f t="shared" si="13"/>
        <v>1064.6399999999999</v>
      </c>
    </row>
    <row r="45" spans="1:25" x14ac:dyDescent="0.25">
      <c r="A45" s="194" t="s">
        <v>51</v>
      </c>
      <c r="B45" s="268">
        <f>(((B41)+(B42))+(B43))+(B44)</f>
        <v>0</v>
      </c>
      <c r="C45" s="268">
        <f>(((C41)+(C42))+(C43))+(C44)</f>
        <v>0</v>
      </c>
      <c r="D45" s="196">
        <f>(((D41)+(D42))+(D43))+(D44)</f>
        <v>332.22</v>
      </c>
      <c r="E45" s="268">
        <f>(((E41)+(E42))+(E43))+(E44)</f>
        <v>0</v>
      </c>
      <c r="F45" s="196">
        <f>(((F41)+(F42))+(F43))+(F44)</f>
        <v>0</v>
      </c>
      <c r="G45" s="196">
        <f t="shared" si="7"/>
        <v>332.22</v>
      </c>
      <c r="H45" s="268">
        <f>(((H41)+(H42))+(H43))+(H44)</f>
        <v>0</v>
      </c>
      <c r="I45" s="196">
        <f>(((I41)+(I42))+(I43))+(I44)</f>
        <v>0</v>
      </c>
      <c r="J45" s="268">
        <f>(((J41)+(J42))+(J43))+(J44)</f>
        <v>0</v>
      </c>
      <c r="K45" s="268">
        <f>(((K41)+(K42))+(K43))+(K44)</f>
        <v>0</v>
      </c>
      <c r="L45" s="268">
        <f>(((L41)+(L42))+(L43))+(L44)</f>
        <v>0</v>
      </c>
      <c r="M45" s="196">
        <f t="shared" si="8"/>
        <v>0</v>
      </c>
      <c r="N45" s="262">
        <f t="shared" si="9"/>
        <v>332.22</v>
      </c>
      <c r="O45" s="196">
        <f>(((O41)+(O42))+(O43))+(O44)</f>
        <v>0</v>
      </c>
      <c r="P45" s="196">
        <f>(((P41)+(P42))+(P43))+(P44)</f>
        <v>1220.3200000000002</v>
      </c>
      <c r="Q45" s="196">
        <f>(((Q41)+(Q42))+(Q43))+(Q44)</f>
        <v>16.899999999999999</v>
      </c>
      <c r="R45" s="196">
        <f t="shared" si="10"/>
        <v>1237.2200000000003</v>
      </c>
      <c r="S45" s="196">
        <f>(((S41)+(S42))+(S43))+(S44)</f>
        <v>32.4</v>
      </c>
      <c r="T45" s="196">
        <f>(((T41)+(T42))+(T43))+(T44)</f>
        <v>0</v>
      </c>
      <c r="U45" s="196">
        <f>(((U41)+(U42))+(U43))+(U44)</f>
        <v>0</v>
      </c>
      <c r="V45" s="196">
        <f>(((V41)+(V42))+(V43))+(V44)</f>
        <v>0</v>
      </c>
      <c r="W45" s="196">
        <f t="shared" si="11"/>
        <v>32.4</v>
      </c>
      <c r="X45" s="200">
        <f t="shared" si="12"/>
        <v>1269.6200000000003</v>
      </c>
      <c r="Y45" s="204">
        <f t="shared" si="13"/>
        <v>1601.8400000000004</v>
      </c>
    </row>
    <row r="46" spans="1:25" x14ac:dyDescent="0.25">
      <c r="A46" s="194" t="s">
        <v>52</v>
      </c>
      <c r="B46" s="266"/>
      <c r="C46" s="266"/>
      <c r="D46" s="195"/>
      <c r="E46" s="266"/>
      <c r="F46" s="195"/>
      <c r="G46" s="191">
        <f t="shared" si="7"/>
        <v>0</v>
      </c>
      <c r="H46" s="266"/>
      <c r="I46" s="195"/>
      <c r="J46" s="266"/>
      <c r="K46" s="266"/>
      <c r="L46" s="266"/>
      <c r="M46" s="191">
        <f t="shared" si="8"/>
        <v>0</v>
      </c>
      <c r="N46" s="261">
        <f t="shared" si="9"/>
        <v>0</v>
      </c>
      <c r="O46" s="195"/>
      <c r="P46" s="195"/>
      <c r="Q46" s="195"/>
      <c r="R46" s="191">
        <f t="shared" si="10"/>
        <v>0</v>
      </c>
      <c r="S46" s="195"/>
      <c r="T46" s="195"/>
      <c r="U46" s="195"/>
      <c r="V46" s="195"/>
      <c r="W46" s="191">
        <f t="shared" si="11"/>
        <v>0</v>
      </c>
      <c r="X46" s="199">
        <f t="shared" si="12"/>
        <v>0</v>
      </c>
      <c r="Y46" s="203">
        <f t="shared" si="13"/>
        <v>0</v>
      </c>
    </row>
    <row r="47" spans="1:25" x14ac:dyDescent="0.25">
      <c r="A47" s="194" t="s">
        <v>53</v>
      </c>
      <c r="B47" s="266"/>
      <c r="C47" s="266"/>
      <c r="D47" s="195"/>
      <c r="E47" s="266"/>
      <c r="F47" s="195"/>
      <c r="G47" s="191">
        <f t="shared" si="7"/>
        <v>0</v>
      </c>
      <c r="H47" s="266"/>
      <c r="I47" s="195"/>
      <c r="J47" s="266"/>
      <c r="K47" s="266"/>
      <c r="L47" s="266"/>
      <c r="M47" s="191">
        <f t="shared" si="8"/>
        <v>0</v>
      </c>
      <c r="N47" s="261">
        <f t="shared" si="9"/>
        <v>0</v>
      </c>
      <c r="O47" s="195"/>
      <c r="P47" s="191">
        <f>1907.2</f>
        <v>1907.2</v>
      </c>
      <c r="Q47" s="195"/>
      <c r="R47" s="191">
        <f t="shared" si="10"/>
        <v>1907.2</v>
      </c>
      <c r="S47" s="195"/>
      <c r="T47" s="195"/>
      <c r="U47" s="195"/>
      <c r="V47" s="195"/>
      <c r="W47" s="191">
        <f t="shared" si="11"/>
        <v>0</v>
      </c>
      <c r="X47" s="199">
        <f t="shared" si="12"/>
        <v>1907.2</v>
      </c>
      <c r="Y47" s="203">
        <f t="shared" si="13"/>
        <v>1907.2</v>
      </c>
    </row>
    <row r="48" spans="1:25" x14ac:dyDescent="0.25">
      <c r="A48" s="194" t="s">
        <v>54</v>
      </c>
      <c r="B48" s="266"/>
      <c r="C48" s="266"/>
      <c r="D48" s="195"/>
      <c r="E48" s="266"/>
      <c r="F48" s="195"/>
      <c r="G48" s="191">
        <f t="shared" si="7"/>
        <v>0</v>
      </c>
      <c r="H48" s="266"/>
      <c r="I48" s="195"/>
      <c r="J48" s="266"/>
      <c r="K48" s="266"/>
      <c r="L48" s="266"/>
      <c r="M48" s="191">
        <f t="shared" si="8"/>
        <v>0</v>
      </c>
      <c r="N48" s="261">
        <f t="shared" si="9"/>
        <v>0</v>
      </c>
      <c r="O48" s="195"/>
      <c r="P48" s="195"/>
      <c r="Q48" s="195"/>
      <c r="R48" s="191">
        <f t="shared" si="10"/>
        <v>0</v>
      </c>
      <c r="S48" s="195"/>
      <c r="T48" s="195"/>
      <c r="U48" s="195"/>
      <c r="V48" s="195"/>
      <c r="W48" s="191">
        <f t="shared" si="11"/>
        <v>0</v>
      </c>
      <c r="X48" s="199">
        <f t="shared" si="12"/>
        <v>0</v>
      </c>
      <c r="Y48" s="203">
        <f t="shared" si="13"/>
        <v>0</v>
      </c>
    </row>
    <row r="49" spans="1:25" x14ac:dyDescent="0.25">
      <c r="A49" s="194" t="s">
        <v>55</v>
      </c>
      <c r="B49" s="266"/>
      <c r="C49" s="266"/>
      <c r="D49" s="195"/>
      <c r="E49" s="266"/>
      <c r="F49" s="195"/>
      <c r="G49" s="191">
        <f t="shared" si="7"/>
        <v>0</v>
      </c>
      <c r="H49" s="266"/>
      <c r="I49" s="195"/>
      <c r="J49" s="266"/>
      <c r="K49" s="266"/>
      <c r="L49" s="266"/>
      <c r="M49" s="191">
        <f t="shared" si="8"/>
        <v>0</v>
      </c>
      <c r="N49" s="261">
        <f t="shared" si="9"/>
        <v>0</v>
      </c>
      <c r="O49" s="195"/>
      <c r="P49" s="191">
        <f>-4292.26</f>
        <v>-4292.26</v>
      </c>
      <c r="Q49" s="195"/>
      <c r="R49" s="191">
        <f t="shared" si="10"/>
        <v>-4292.26</v>
      </c>
      <c r="S49" s="195"/>
      <c r="T49" s="195"/>
      <c r="U49" s="195"/>
      <c r="V49" s="195"/>
      <c r="W49" s="191">
        <f t="shared" si="11"/>
        <v>0</v>
      </c>
      <c r="X49" s="199">
        <f t="shared" si="12"/>
        <v>-4292.26</v>
      </c>
      <c r="Y49" s="203">
        <f t="shared" si="13"/>
        <v>-4292.26</v>
      </c>
    </row>
    <row r="50" spans="1:25" x14ac:dyDescent="0.25">
      <c r="A50" s="194" t="s">
        <v>56</v>
      </c>
      <c r="B50" s="266"/>
      <c r="C50" s="266"/>
      <c r="D50" s="195"/>
      <c r="E50" s="266"/>
      <c r="F50" s="195"/>
      <c r="G50" s="191">
        <f t="shared" si="7"/>
        <v>0</v>
      </c>
      <c r="H50" s="266"/>
      <c r="I50" s="195"/>
      <c r="J50" s="266"/>
      <c r="K50" s="266"/>
      <c r="L50" s="266"/>
      <c r="M50" s="191">
        <f t="shared" si="8"/>
        <v>0</v>
      </c>
      <c r="N50" s="261">
        <f t="shared" si="9"/>
        <v>0</v>
      </c>
      <c r="O50" s="195"/>
      <c r="P50" s="191">
        <f>5744.78</f>
        <v>5744.78</v>
      </c>
      <c r="Q50" s="195"/>
      <c r="R50" s="191">
        <f t="shared" si="10"/>
        <v>5744.78</v>
      </c>
      <c r="S50" s="195"/>
      <c r="T50" s="195"/>
      <c r="U50" s="195"/>
      <c r="V50" s="195"/>
      <c r="W50" s="191">
        <f t="shared" si="11"/>
        <v>0</v>
      </c>
      <c r="X50" s="199">
        <f t="shared" si="12"/>
        <v>5744.78</v>
      </c>
      <c r="Y50" s="203">
        <f t="shared" si="13"/>
        <v>5744.78</v>
      </c>
    </row>
    <row r="51" spans="1:25" x14ac:dyDescent="0.25">
      <c r="A51" s="194" t="s">
        <v>57</v>
      </c>
      <c r="B51" s="266"/>
      <c r="C51" s="266"/>
      <c r="D51" s="191">
        <v>0</v>
      </c>
      <c r="E51" s="266"/>
      <c r="F51" s="195"/>
      <c r="G51" s="191">
        <f t="shared" si="7"/>
        <v>0</v>
      </c>
      <c r="H51" s="266"/>
      <c r="I51" s="195"/>
      <c r="J51" s="266"/>
      <c r="K51" s="266"/>
      <c r="L51" s="266"/>
      <c r="M51" s="191">
        <f t="shared" si="8"/>
        <v>0</v>
      </c>
      <c r="N51" s="261">
        <f t="shared" si="9"/>
        <v>0</v>
      </c>
      <c r="O51" s="195"/>
      <c r="P51" s="191">
        <f>1983.91+172</f>
        <v>2155.91</v>
      </c>
      <c r="Q51" s="195"/>
      <c r="R51" s="191">
        <f t="shared" si="10"/>
        <v>2155.91</v>
      </c>
      <c r="S51" s="195"/>
      <c r="T51" s="195"/>
      <c r="U51" s="195"/>
      <c r="V51" s="195"/>
      <c r="W51" s="191">
        <f t="shared" si="11"/>
        <v>0</v>
      </c>
      <c r="X51" s="199">
        <f t="shared" si="12"/>
        <v>2155.91</v>
      </c>
      <c r="Y51" s="203">
        <f t="shared" si="13"/>
        <v>2155.91</v>
      </c>
    </row>
    <row r="52" spans="1:25" x14ac:dyDescent="0.25">
      <c r="A52" s="194" t="s">
        <v>58</v>
      </c>
      <c r="B52" s="266"/>
      <c r="C52" s="266"/>
      <c r="D52" s="195"/>
      <c r="E52" s="266"/>
      <c r="F52" s="195"/>
      <c r="G52" s="191">
        <f t="shared" si="7"/>
        <v>0</v>
      </c>
      <c r="H52" s="266"/>
      <c r="I52" s="195"/>
      <c r="J52" s="266"/>
      <c r="K52" s="266"/>
      <c r="L52" s="266"/>
      <c r="M52" s="191">
        <f t="shared" si="8"/>
        <v>0</v>
      </c>
      <c r="N52" s="261">
        <f t="shared" si="9"/>
        <v>0</v>
      </c>
      <c r="O52" s="195"/>
      <c r="P52" s="191">
        <f>1780.44</f>
        <v>1780.44</v>
      </c>
      <c r="Q52" s="195"/>
      <c r="R52" s="191">
        <f t="shared" si="10"/>
        <v>1780.44</v>
      </c>
      <c r="S52" s="195"/>
      <c r="T52" s="195"/>
      <c r="U52" s="195"/>
      <c r="V52" s="195"/>
      <c r="W52" s="191">
        <f t="shared" si="11"/>
        <v>0</v>
      </c>
      <c r="X52" s="199">
        <f t="shared" si="12"/>
        <v>1780.44</v>
      </c>
      <c r="Y52" s="203">
        <f t="shared" si="13"/>
        <v>1780.44</v>
      </c>
    </row>
    <row r="53" spans="1:25" x14ac:dyDescent="0.25">
      <c r="A53" s="194" t="s">
        <v>59</v>
      </c>
      <c r="B53" s="268">
        <f>((((B48)+(B49))+(B50))+(B51))+(B52)</f>
        <v>0</v>
      </c>
      <c r="C53" s="268">
        <f>((((C48)+(C49))+(C50))+(C51))+(C52)</f>
        <v>0</v>
      </c>
      <c r="D53" s="196">
        <f>((((D48)+(D49))+(D50))+(D51))+(D52)</f>
        <v>0</v>
      </c>
      <c r="E53" s="268">
        <f>((((E48)+(E49))+(E50))+(E51))+(E52)</f>
        <v>0</v>
      </c>
      <c r="F53" s="196">
        <f>((((F48)+(F49))+(F50))+(F51))+(F52)</f>
        <v>0</v>
      </c>
      <c r="G53" s="196">
        <f t="shared" si="7"/>
        <v>0</v>
      </c>
      <c r="H53" s="268">
        <f>((((H48)+(H49))+(H50))+(H51))+(H52)</f>
        <v>0</v>
      </c>
      <c r="I53" s="196">
        <f>((((I48)+(I49))+(I50))+(I51))+(I52)</f>
        <v>0</v>
      </c>
      <c r="J53" s="268">
        <f>((((J48)+(J49))+(J50))+(J51))+(J52)</f>
        <v>0</v>
      </c>
      <c r="K53" s="268">
        <f>((((K48)+(K49))+(K50))+(K51))+(K52)</f>
        <v>0</v>
      </c>
      <c r="L53" s="268">
        <f>((((L48)+(L49))+(L50))+(L51))+(L52)</f>
        <v>0</v>
      </c>
      <c r="M53" s="196">
        <f t="shared" si="8"/>
        <v>0</v>
      </c>
      <c r="N53" s="262">
        <f t="shared" si="9"/>
        <v>0</v>
      </c>
      <c r="O53" s="196">
        <f>((((O48)+(O49))+(O50))+(O51))+(O52)</f>
        <v>0</v>
      </c>
      <c r="P53" s="196">
        <f>((((P48)+(P49))+(P50))+(P51))+(P52)</f>
        <v>5388.869999999999</v>
      </c>
      <c r="Q53" s="196">
        <f>((((Q48)+(Q49))+(Q50))+(Q51))+(Q52)</f>
        <v>0</v>
      </c>
      <c r="R53" s="196">
        <f t="shared" si="10"/>
        <v>5388.869999999999</v>
      </c>
      <c r="S53" s="196">
        <f>((((S48)+(S49))+(S50))+(S51))+(S52)</f>
        <v>0</v>
      </c>
      <c r="T53" s="196">
        <f>((((T48)+(T49))+(T50))+(T51))+(T52)</f>
        <v>0</v>
      </c>
      <c r="U53" s="196">
        <f>((((U48)+(U49))+(U50))+(U51))+(U52)</f>
        <v>0</v>
      </c>
      <c r="V53" s="196">
        <f>((((V48)+(V49))+(V50))+(V51))+(V52)</f>
        <v>0</v>
      </c>
      <c r="W53" s="196">
        <f t="shared" si="11"/>
        <v>0</v>
      </c>
      <c r="X53" s="200">
        <f t="shared" si="12"/>
        <v>5388.869999999999</v>
      </c>
      <c r="Y53" s="204">
        <f t="shared" si="13"/>
        <v>5388.869999999999</v>
      </c>
    </row>
    <row r="54" spans="1:25" x14ac:dyDescent="0.25">
      <c r="A54" s="194" t="s">
        <v>60</v>
      </c>
      <c r="B54" s="266"/>
      <c r="C54" s="266"/>
      <c r="D54" s="195"/>
      <c r="E54" s="266"/>
      <c r="F54" s="195"/>
      <c r="G54" s="191">
        <f t="shared" si="7"/>
        <v>0</v>
      </c>
      <c r="H54" s="266"/>
      <c r="I54" s="195"/>
      <c r="J54" s="266"/>
      <c r="K54" s="266"/>
      <c r="L54" s="266"/>
      <c r="M54" s="191">
        <f t="shared" si="8"/>
        <v>0</v>
      </c>
      <c r="N54" s="261">
        <f t="shared" si="9"/>
        <v>0</v>
      </c>
      <c r="O54" s="195"/>
      <c r="P54" s="191">
        <f>1470.26</f>
        <v>1470.26</v>
      </c>
      <c r="Q54" s="195"/>
      <c r="R54" s="191">
        <f t="shared" si="10"/>
        <v>1470.26</v>
      </c>
      <c r="S54" s="195"/>
      <c r="T54" s="195"/>
      <c r="U54" s="195"/>
      <c r="V54" s="195"/>
      <c r="W54" s="191">
        <f t="shared" si="11"/>
        <v>0</v>
      </c>
      <c r="X54" s="199">
        <f t="shared" si="12"/>
        <v>1470.26</v>
      </c>
      <c r="Y54" s="203">
        <f t="shared" si="13"/>
        <v>1470.26</v>
      </c>
    </row>
    <row r="55" spans="1:25" x14ac:dyDescent="0.25">
      <c r="A55" s="194" t="s">
        <v>593</v>
      </c>
      <c r="B55" s="266"/>
      <c r="C55" s="266"/>
      <c r="D55" s="195"/>
      <c r="E55" s="266"/>
      <c r="F55" s="195"/>
      <c r="G55" s="191">
        <f t="shared" si="7"/>
        <v>0</v>
      </c>
      <c r="H55" s="266"/>
      <c r="I55" s="195"/>
      <c r="J55" s="266"/>
      <c r="K55" s="266"/>
      <c r="L55" s="266"/>
      <c r="M55" s="191">
        <f t="shared" si="8"/>
        <v>0</v>
      </c>
      <c r="N55" s="261">
        <f t="shared" si="9"/>
        <v>0</v>
      </c>
      <c r="O55" s="195"/>
      <c r="P55" s="191">
        <f>206.05</f>
        <v>206.05</v>
      </c>
      <c r="Q55" s="195"/>
      <c r="R55" s="191">
        <f t="shared" si="10"/>
        <v>206.05</v>
      </c>
      <c r="S55" s="195"/>
      <c r="T55" s="195"/>
      <c r="U55" s="195"/>
      <c r="V55" s="195"/>
      <c r="W55" s="191">
        <f t="shared" si="11"/>
        <v>0</v>
      </c>
      <c r="X55" s="199">
        <f t="shared" si="12"/>
        <v>206.05</v>
      </c>
      <c r="Y55" s="203">
        <f t="shared" si="13"/>
        <v>206.05</v>
      </c>
    </row>
    <row r="56" spans="1:25" x14ac:dyDescent="0.25">
      <c r="A56" s="194" t="s">
        <v>61</v>
      </c>
      <c r="B56" s="266"/>
      <c r="C56" s="266"/>
      <c r="D56" s="195"/>
      <c r="E56" s="266"/>
      <c r="F56" s="195"/>
      <c r="G56" s="191">
        <f t="shared" si="7"/>
        <v>0</v>
      </c>
      <c r="H56" s="266"/>
      <c r="I56" s="195"/>
      <c r="J56" s="266"/>
      <c r="K56" s="266"/>
      <c r="L56" s="266"/>
      <c r="M56" s="191">
        <f t="shared" si="8"/>
        <v>0</v>
      </c>
      <c r="N56" s="261">
        <f t="shared" si="9"/>
        <v>0</v>
      </c>
      <c r="O56" s="195"/>
      <c r="P56" s="191">
        <f>75</f>
        <v>75</v>
      </c>
      <c r="Q56" s="195"/>
      <c r="R56" s="191">
        <f t="shared" si="10"/>
        <v>75</v>
      </c>
      <c r="S56" s="195"/>
      <c r="T56" s="195"/>
      <c r="U56" s="195"/>
      <c r="V56" s="195"/>
      <c r="W56" s="191">
        <f t="shared" si="11"/>
        <v>0</v>
      </c>
      <c r="X56" s="199">
        <f t="shared" si="12"/>
        <v>75</v>
      </c>
      <c r="Y56" s="203">
        <f t="shared" si="13"/>
        <v>75</v>
      </c>
    </row>
    <row r="57" spans="1:25" x14ac:dyDescent="0.25">
      <c r="A57" s="194" t="s">
        <v>62</v>
      </c>
      <c r="B57" s="266"/>
      <c r="C57" s="266"/>
      <c r="D57" s="195"/>
      <c r="E57" s="266"/>
      <c r="F57" s="195"/>
      <c r="G57" s="191">
        <f t="shared" si="7"/>
        <v>0</v>
      </c>
      <c r="H57" s="266"/>
      <c r="I57" s="195"/>
      <c r="J57" s="266"/>
      <c r="K57" s="266"/>
      <c r="L57" s="266"/>
      <c r="M57" s="191">
        <f t="shared" si="8"/>
        <v>0</v>
      </c>
      <c r="N57" s="261">
        <f t="shared" si="9"/>
        <v>0</v>
      </c>
      <c r="O57" s="195"/>
      <c r="P57" s="191">
        <f>2310.18</f>
        <v>2310.1799999999998</v>
      </c>
      <c r="Q57" s="195"/>
      <c r="R57" s="191">
        <f t="shared" si="10"/>
        <v>2310.1799999999998</v>
      </c>
      <c r="S57" s="195"/>
      <c r="T57" s="195"/>
      <c r="U57" s="195"/>
      <c r="V57" s="195"/>
      <c r="W57" s="191">
        <f t="shared" si="11"/>
        <v>0</v>
      </c>
      <c r="X57" s="199">
        <f t="shared" si="12"/>
        <v>2310.1799999999998</v>
      </c>
      <c r="Y57" s="203">
        <f t="shared" si="13"/>
        <v>2310.1799999999998</v>
      </c>
    </row>
    <row r="58" spans="1:25" x14ac:dyDescent="0.25">
      <c r="A58" s="194" t="s">
        <v>63</v>
      </c>
      <c r="B58" s="266"/>
      <c r="C58" s="266"/>
      <c r="D58" s="195"/>
      <c r="E58" s="266"/>
      <c r="F58" s="195"/>
      <c r="G58" s="191">
        <f t="shared" si="7"/>
        <v>0</v>
      </c>
      <c r="H58" s="266"/>
      <c r="I58" s="195"/>
      <c r="J58" s="266"/>
      <c r="K58" s="266"/>
      <c r="L58" s="266"/>
      <c r="M58" s="191">
        <f t="shared" si="8"/>
        <v>0</v>
      </c>
      <c r="N58" s="261">
        <f t="shared" si="9"/>
        <v>0</v>
      </c>
      <c r="O58" s="195"/>
      <c r="P58" s="191">
        <f>1323.6</f>
        <v>1323.6</v>
      </c>
      <c r="Q58" s="195"/>
      <c r="R58" s="191">
        <f t="shared" si="10"/>
        <v>1323.6</v>
      </c>
      <c r="S58" s="195"/>
      <c r="T58" s="195"/>
      <c r="U58" s="195"/>
      <c r="V58" s="195"/>
      <c r="W58" s="191">
        <f t="shared" si="11"/>
        <v>0</v>
      </c>
      <c r="X58" s="199">
        <f t="shared" si="12"/>
        <v>1323.6</v>
      </c>
      <c r="Y58" s="203">
        <f t="shared" si="13"/>
        <v>1323.6</v>
      </c>
    </row>
    <row r="59" spans="1:25" x14ac:dyDescent="0.25">
      <c r="A59" s="194" t="s">
        <v>466</v>
      </c>
      <c r="B59" s="266"/>
      <c r="C59" s="266"/>
      <c r="D59" s="195"/>
      <c r="E59" s="267">
        <f>818.94</f>
        <v>818.94</v>
      </c>
      <c r="F59" s="195"/>
      <c r="G59" s="191">
        <f t="shared" si="7"/>
        <v>818.94</v>
      </c>
      <c r="H59" s="266"/>
      <c r="I59" s="195"/>
      <c r="J59" s="266"/>
      <c r="K59" s="266"/>
      <c r="L59" s="266"/>
      <c r="M59" s="191">
        <f t="shared" si="8"/>
        <v>0</v>
      </c>
      <c r="N59" s="261">
        <f t="shared" si="9"/>
        <v>818.94</v>
      </c>
      <c r="O59" s="195"/>
      <c r="P59" s="191">
        <f>510.21</f>
        <v>510.21</v>
      </c>
      <c r="Q59" s="195"/>
      <c r="R59" s="191">
        <f t="shared" si="10"/>
        <v>510.21</v>
      </c>
      <c r="S59" s="195"/>
      <c r="T59" s="195"/>
      <c r="U59" s="195"/>
      <c r="V59" s="195"/>
      <c r="W59" s="191">
        <f t="shared" si="11"/>
        <v>0</v>
      </c>
      <c r="X59" s="199">
        <f t="shared" si="12"/>
        <v>510.21</v>
      </c>
      <c r="Y59" s="203">
        <f t="shared" si="13"/>
        <v>1329.15</v>
      </c>
    </row>
    <row r="60" spans="1:25" x14ac:dyDescent="0.25">
      <c r="A60" s="194" t="s">
        <v>64</v>
      </c>
      <c r="B60" s="266"/>
      <c r="C60" s="266"/>
      <c r="D60" s="195"/>
      <c r="E60" s="266"/>
      <c r="F60" s="195"/>
      <c r="G60" s="191">
        <f t="shared" si="7"/>
        <v>0</v>
      </c>
      <c r="H60" s="266"/>
      <c r="I60" s="195"/>
      <c r="J60" s="266"/>
      <c r="K60" s="266"/>
      <c r="L60" s="266"/>
      <c r="M60" s="191">
        <f t="shared" si="8"/>
        <v>0</v>
      </c>
      <c r="N60" s="261">
        <f t="shared" si="9"/>
        <v>0</v>
      </c>
      <c r="O60" s="195"/>
      <c r="P60" s="191">
        <f>6677.91</f>
        <v>6677.91</v>
      </c>
      <c r="Q60" s="195"/>
      <c r="R60" s="191">
        <f t="shared" si="10"/>
        <v>6677.91</v>
      </c>
      <c r="S60" s="195"/>
      <c r="T60" s="195"/>
      <c r="U60" s="195"/>
      <c r="V60" s="195"/>
      <c r="W60" s="191">
        <f t="shared" si="11"/>
        <v>0</v>
      </c>
      <c r="X60" s="199">
        <f t="shared" si="12"/>
        <v>6677.91</v>
      </c>
      <c r="Y60" s="203">
        <f t="shared" si="13"/>
        <v>6677.91</v>
      </c>
    </row>
    <row r="61" spans="1:25" x14ac:dyDescent="0.25">
      <c r="A61" s="194" t="s">
        <v>420</v>
      </c>
      <c r="B61" s="266"/>
      <c r="C61" s="266"/>
      <c r="D61" s="195"/>
      <c r="E61" s="266"/>
      <c r="F61" s="195"/>
      <c r="G61" s="191">
        <f t="shared" si="7"/>
        <v>0</v>
      </c>
      <c r="H61" s="266"/>
      <c r="I61" s="195"/>
      <c r="J61" s="266"/>
      <c r="K61" s="266"/>
      <c r="L61" s="266"/>
      <c r="M61" s="191">
        <f t="shared" si="8"/>
        <v>0</v>
      </c>
      <c r="N61" s="261">
        <f t="shared" si="9"/>
        <v>0</v>
      </c>
      <c r="O61" s="195"/>
      <c r="P61" s="191">
        <f>5500</f>
        <v>5500</v>
      </c>
      <c r="Q61" s="195"/>
      <c r="R61" s="191">
        <f t="shared" si="10"/>
        <v>5500</v>
      </c>
      <c r="S61" s="195"/>
      <c r="T61" s="195"/>
      <c r="U61" s="195"/>
      <c r="V61" s="195"/>
      <c r="W61" s="191">
        <f t="shared" si="11"/>
        <v>0</v>
      </c>
      <c r="X61" s="199">
        <f t="shared" si="12"/>
        <v>5500</v>
      </c>
      <c r="Y61" s="203">
        <f t="shared" si="13"/>
        <v>5500</v>
      </c>
    </row>
    <row r="62" spans="1:25" x14ac:dyDescent="0.25">
      <c r="A62" s="194" t="s">
        <v>65</v>
      </c>
      <c r="B62" s="268">
        <f>(((((B56)+(B57))+(B58))+(B59))+(B60))+(B61)</f>
        <v>0</v>
      </c>
      <c r="C62" s="268">
        <f>(((((C56)+(C57))+(C58))+(C59))+(C60))+(C61)</f>
        <v>0</v>
      </c>
      <c r="D62" s="196">
        <f>(((((D56)+(D57))+(D58))+(D59))+(D60))+(D61)</f>
        <v>0</v>
      </c>
      <c r="E62" s="268">
        <f>(((((E56)+(E57))+(E58))+(E59))+(E60))+(E61)</f>
        <v>818.94</v>
      </c>
      <c r="F62" s="196">
        <f>(((((F56)+(F57))+(F58))+(F59))+(F60))+(F61)</f>
        <v>0</v>
      </c>
      <c r="G62" s="196">
        <f t="shared" si="7"/>
        <v>818.94</v>
      </c>
      <c r="H62" s="268">
        <f>(((((H56)+(H57))+(H58))+(H59))+(H60))+(H61)</f>
        <v>0</v>
      </c>
      <c r="I62" s="196">
        <f>(((((I56)+(I57))+(I58))+(I59))+(I60))+(I61)</f>
        <v>0</v>
      </c>
      <c r="J62" s="268">
        <f>(((((J56)+(J57))+(J58))+(J59))+(J60))+(J61)</f>
        <v>0</v>
      </c>
      <c r="K62" s="268">
        <f>(((((K56)+(K57))+(K58))+(K59))+(K60))+(K61)</f>
        <v>0</v>
      </c>
      <c r="L62" s="268">
        <f>(((((L56)+(L57))+(L58))+(L59))+(L60))+(L61)</f>
        <v>0</v>
      </c>
      <c r="M62" s="196">
        <f t="shared" si="8"/>
        <v>0</v>
      </c>
      <c r="N62" s="262">
        <f t="shared" si="9"/>
        <v>818.94</v>
      </c>
      <c r="O62" s="196">
        <f>(((((O56)+(O57))+(O58))+(O59))+(O60))+(O61)</f>
        <v>0</v>
      </c>
      <c r="P62" s="196">
        <f>(((((P56)+(P57))+(P58))+(P59))+(P60))+(P61)</f>
        <v>16396.900000000001</v>
      </c>
      <c r="Q62" s="196">
        <f>(((((Q56)+(Q57))+(Q58))+(Q59))+(Q60))+(Q61)</f>
        <v>0</v>
      </c>
      <c r="R62" s="196">
        <f t="shared" si="10"/>
        <v>16396.900000000001</v>
      </c>
      <c r="S62" s="196">
        <f>(((((S56)+(S57))+(S58))+(S59))+(S60))+(S61)</f>
        <v>0</v>
      </c>
      <c r="T62" s="196">
        <f>(((((T56)+(T57))+(T58))+(T59))+(T60))+(T61)</f>
        <v>0</v>
      </c>
      <c r="U62" s="196">
        <f>(((((U56)+(U57))+(U58))+(U59))+(U60))+(U61)</f>
        <v>0</v>
      </c>
      <c r="V62" s="196">
        <f>(((((V56)+(V57))+(V58))+(V59))+(V60))+(V61)</f>
        <v>0</v>
      </c>
      <c r="W62" s="196">
        <f t="shared" si="11"/>
        <v>0</v>
      </c>
      <c r="X62" s="200">
        <f t="shared" si="12"/>
        <v>16396.900000000001</v>
      </c>
      <c r="Y62" s="204">
        <f t="shared" si="13"/>
        <v>17215.84</v>
      </c>
    </row>
    <row r="63" spans="1:25" x14ac:dyDescent="0.25">
      <c r="A63" s="194" t="s">
        <v>66</v>
      </c>
      <c r="B63" s="266"/>
      <c r="C63" s="266"/>
      <c r="D63" s="195"/>
      <c r="E63" s="267">
        <f>20.47</f>
        <v>20.47</v>
      </c>
      <c r="F63" s="195"/>
      <c r="G63" s="191">
        <f t="shared" si="7"/>
        <v>20.47</v>
      </c>
      <c r="H63" s="266"/>
      <c r="I63" s="195"/>
      <c r="J63" s="266"/>
      <c r="K63" s="266"/>
      <c r="L63" s="266"/>
      <c r="M63" s="191">
        <f t="shared" si="8"/>
        <v>0</v>
      </c>
      <c r="N63" s="261">
        <f t="shared" si="9"/>
        <v>20.47</v>
      </c>
      <c r="O63" s="195"/>
      <c r="P63" s="191">
        <f>1114.58</f>
        <v>1114.58</v>
      </c>
      <c r="Q63" s="195"/>
      <c r="R63" s="191">
        <f t="shared" si="10"/>
        <v>1114.58</v>
      </c>
      <c r="S63" s="195"/>
      <c r="T63" s="195"/>
      <c r="U63" s="195"/>
      <c r="V63" s="195"/>
      <c r="W63" s="191">
        <f t="shared" si="11"/>
        <v>0</v>
      </c>
      <c r="X63" s="199">
        <f t="shared" si="12"/>
        <v>1114.58</v>
      </c>
      <c r="Y63" s="203">
        <f t="shared" si="13"/>
        <v>1135.05</v>
      </c>
    </row>
    <row r="64" spans="1:25" x14ac:dyDescent="0.25">
      <c r="A64" s="194" t="s">
        <v>67</v>
      </c>
      <c r="B64" s="268">
        <f>((((((B46)+(B47))+(B53))+(B54))+(B55))+(B62))+(B63)</f>
        <v>0</v>
      </c>
      <c r="C64" s="268">
        <f>((((((C46)+(C47))+(C53))+(C54))+(C55))+(C62))+(C63)</f>
        <v>0</v>
      </c>
      <c r="D64" s="196">
        <f>((((((D46)+(D47))+(D53))+(D54))+(D55))+(D62))+(D63)</f>
        <v>0</v>
      </c>
      <c r="E64" s="268">
        <f>((((((E46)+(E47))+(E53))+(E54))+(E55))+(E62))+(E63)</f>
        <v>839.41000000000008</v>
      </c>
      <c r="F64" s="196">
        <f>((((((F46)+(F47))+(F53))+(F54))+(F55))+(F62))+(F63)</f>
        <v>0</v>
      </c>
      <c r="G64" s="196">
        <f t="shared" si="7"/>
        <v>839.41000000000008</v>
      </c>
      <c r="H64" s="268">
        <f>((((((H46)+(H47))+(H53))+(H54))+(H55))+(H62))+(H63)</f>
        <v>0</v>
      </c>
      <c r="I64" s="196">
        <f>((((((I46)+(I47))+(I53))+(I54))+(I55))+(I62))+(I63)</f>
        <v>0</v>
      </c>
      <c r="J64" s="268">
        <f>((((((J46)+(J47))+(J53))+(J54))+(J55))+(J62))+(J63)</f>
        <v>0</v>
      </c>
      <c r="K64" s="268">
        <f>((((((K46)+(K47))+(K53))+(K54))+(K55))+(K62))+(K63)</f>
        <v>0</v>
      </c>
      <c r="L64" s="268">
        <f>((((((L46)+(L47))+(L53))+(L54))+(L55))+(L62))+(L63)</f>
        <v>0</v>
      </c>
      <c r="M64" s="196">
        <f t="shared" si="8"/>
        <v>0</v>
      </c>
      <c r="N64" s="262">
        <f t="shared" si="9"/>
        <v>839.41000000000008</v>
      </c>
      <c r="O64" s="196">
        <f>((((((O46)+(O47))+(O53))+(O54))+(O55))+(O62))+(O63)</f>
        <v>0</v>
      </c>
      <c r="P64" s="196">
        <f>((((((P46)+(P47))+(P53))+(P54))+(P55))+(P62))+(P63)</f>
        <v>26483.86</v>
      </c>
      <c r="Q64" s="196">
        <f>((((((Q46)+(Q47))+(Q53))+(Q54))+(Q55))+(Q62))+(Q63)</f>
        <v>0</v>
      </c>
      <c r="R64" s="196">
        <f t="shared" si="10"/>
        <v>26483.86</v>
      </c>
      <c r="S64" s="196">
        <f>((((((S46)+(S47))+(S53))+(S54))+(S55))+(S62))+(S63)</f>
        <v>0</v>
      </c>
      <c r="T64" s="196">
        <f>((((((T46)+(T47))+(T53))+(T54))+(T55))+(T62))+(T63)</f>
        <v>0</v>
      </c>
      <c r="U64" s="196">
        <f>((((((U46)+(U47))+(U53))+(U54))+(U55))+(U62))+(U63)</f>
        <v>0</v>
      </c>
      <c r="V64" s="196">
        <f>((((((V46)+(V47))+(V53))+(V54))+(V55))+(V62))+(V63)</f>
        <v>0</v>
      </c>
      <c r="W64" s="196">
        <f t="shared" si="11"/>
        <v>0</v>
      </c>
      <c r="X64" s="200">
        <f t="shared" si="12"/>
        <v>26483.86</v>
      </c>
      <c r="Y64" s="204">
        <f t="shared" si="13"/>
        <v>27323.27</v>
      </c>
    </row>
    <row r="65" spans="1:25" x14ac:dyDescent="0.25">
      <c r="A65" s="194" t="s">
        <v>68</v>
      </c>
      <c r="B65" s="266"/>
      <c r="C65" s="266"/>
      <c r="D65" s="195"/>
      <c r="E65" s="266"/>
      <c r="F65" s="195"/>
      <c r="G65" s="191">
        <f t="shared" si="7"/>
        <v>0</v>
      </c>
      <c r="H65" s="266"/>
      <c r="I65" s="195"/>
      <c r="J65" s="266"/>
      <c r="K65" s="266"/>
      <c r="L65" s="266"/>
      <c r="M65" s="191">
        <f t="shared" si="8"/>
        <v>0</v>
      </c>
      <c r="N65" s="261">
        <f t="shared" si="9"/>
        <v>0</v>
      </c>
      <c r="O65" s="195"/>
      <c r="P65" s="195"/>
      <c r="Q65" s="195"/>
      <c r="R65" s="191">
        <f t="shared" si="10"/>
        <v>0</v>
      </c>
      <c r="S65" s="195"/>
      <c r="T65" s="195"/>
      <c r="U65" s="195"/>
      <c r="V65" s="195"/>
      <c r="W65" s="191">
        <f t="shared" si="11"/>
        <v>0</v>
      </c>
      <c r="X65" s="199">
        <f t="shared" si="12"/>
        <v>0</v>
      </c>
      <c r="Y65" s="203">
        <f t="shared" si="13"/>
        <v>0</v>
      </c>
    </row>
    <row r="66" spans="1:25" x14ac:dyDescent="0.25">
      <c r="A66" s="194" t="s">
        <v>69</v>
      </c>
      <c r="B66" s="266"/>
      <c r="C66" s="266"/>
      <c r="D66" s="195"/>
      <c r="E66" s="266"/>
      <c r="F66" s="195"/>
      <c r="G66" s="191">
        <f t="shared" si="7"/>
        <v>0</v>
      </c>
      <c r="H66" s="266"/>
      <c r="I66" s="195"/>
      <c r="J66" s="267">
        <f>504</f>
        <v>504</v>
      </c>
      <c r="K66" s="266"/>
      <c r="L66" s="266"/>
      <c r="M66" s="191">
        <f t="shared" si="8"/>
        <v>504</v>
      </c>
      <c r="N66" s="261">
        <f t="shared" si="9"/>
        <v>504</v>
      </c>
      <c r="O66" s="195"/>
      <c r="P66" s="191">
        <f>629.41</f>
        <v>629.41</v>
      </c>
      <c r="Q66" s="195"/>
      <c r="R66" s="191">
        <f t="shared" si="10"/>
        <v>629.41</v>
      </c>
      <c r="S66" s="195"/>
      <c r="T66" s="195"/>
      <c r="U66" s="195"/>
      <c r="V66" s="195"/>
      <c r="W66" s="191">
        <f t="shared" si="11"/>
        <v>0</v>
      </c>
      <c r="X66" s="199">
        <f t="shared" si="12"/>
        <v>629.41</v>
      </c>
      <c r="Y66" s="203">
        <f t="shared" si="13"/>
        <v>1133.4099999999999</v>
      </c>
    </row>
    <row r="67" spans="1:25" x14ac:dyDescent="0.25">
      <c r="A67" s="194" t="s">
        <v>70</v>
      </c>
      <c r="B67" s="266"/>
      <c r="C67" s="266"/>
      <c r="D67" s="195"/>
      <c r="E67" s="266"/>
      <c r="F67" s="195"/>
      <c r="G67" s="191">
        <f t="shared" si="7"/>
        <v>0</v>
      </c>
      <c r="H67" s="266"/>
      <c r="I67" s="195"/>
      <c r="J67" s="266"/>
      <c r="K67" s="266"/>
      <c r="L67" s="266"/>
      <c r="M67" s="191">
        <f t="shared" si="8"/>
        <v>0</v>
      </c>
      <c r="N67" s="261">
        <f t="shared" si="9"/>
        <v>0</v>
      </c>
      <c r="O67" s="195"/>
      <c r="P67" s="191">
        <f>359.99</f>
        <v>359.99</v>
      </c>
      <c r="Q67" s="195"/>
      <c r="R67" s="191">
        <f t="shared" si="10"/>
        <v>359.99</v>
      </c>
      <c r="S67" s="195"/>
      <c r="T67" s="195"/>
      <c r="U67" s="195"/>
      <c r="V67" s="195"/>
      <c r="W67" s="191">
        <f t="shared" si="11"/>
        <v>0</v>
      </c>
      <c r="X67" s="199">
        <f t="shared" si="12"/>
        <v>359.99</v>
      </c>
      <c r="Y67" s="203">
        <f t="shared" si="13"/>
        <v>359.99</v>
      </c>
    </row>
    <row r="68" spans="1:25" x14ac:dyDescent="0.25">
      <c r="A68" s="194" t="s">
        <v>71</v>
      </c>
      <c r="B68" s="266"/>
      <c r="C68" s="266"/>
      <c r="D68" s="195"/>
      <c r="E68" s="267">
        <f>69.6</f>
        <v>69.599999999999994</v>
      </c>
      <c r="F68" s="195"/>
      <c r="G68" s="191">
        <f t="shared" si="7"/>
        <v>69.599999999999994</v>
      </c>
      <c r="H68" s="266"/>
      <c r="I68" s="195"/>
      <c r="J68" s="266"/>
      <c r="K68" s="267">
        <f>205</f>
        <v>205</v>
      </c>
      <c r="L68" s="266"/>
      <c r="M68" s="191">
        <f t="shared" si="8"/>
        <v>205</v>
      </c>
      <c r="N68" s="261">
        <f t="shared" si="9"/>
        <v>274.60000000000002</v>
      </c>
      <c r="O68" s="195"/>
      <c r="P68" s="191">
        <f>1046.05</f>
        <v>1046.05</v>
      </c>
      <c r="Q68" s="195"/>
      <c r="R68" s="191">
        <f t="shared" si="10"/>
        <v>1046.05</v>
      </c>
      <c r="S68" s="195"/>
      <c r="T68" s="195"/>
      <c r="U68" s="195"/>
      <c r="V68" s="195"/>
      <c r="W68" s="191">
        <f t="shared" si="11"/>
        <v>0</v>
      </c>
      <c r="X68" s="199">
        <f t="shared" si="12"/>
        <v>1046.05</v>
      </c>
      <c r="Y68" s="203">
        <f t="shared" si="13"/>
        <v>1320.65</v>
      </c>
    </row>
    <row r="69" spans="1:25" x14ac:dyDescent="0.25">
      <c r="A69" s="194" t="s">
        <v>72</v>
      </c>
      <c r="B69" s="268">
        <f>(((B65)+(B66))+(B67))+(B68)</f>
        <v>0</v>
      </c>
      <c r="C69" s="268">
        <f>(((C65)+(C66))+(C67))+(C68)</f>
        <v>0</v>
      </c>
      <c r="D69" s="196">
        <f>(((D65)+(D66))+(D67))+(D68)</f>
        <v>0</v>
      </c>
      <c r="E69" s="268">
        <f>(((E65)+(E66))+(E67))+(E68)</f>
        <v>69.599999999999994</v>
      </c>
      <c r="F69" s="196">
        <f>(((F65)+(F66))+(F67))+(F68)</f>
        <v>0</v>
      </c>
      <c r="G69" s="196">
        <f t="shared" si="7"/>
        <v>69.599999999999994</v>
      </c>
      <c r="H69" s="268">
        <f>(((H65)+(H66))+(H67))+(H68)</f>
        <v>0</v>
      </c>
      <c r="I69" s="196">
        <f>(((I65)+(I66))+(I67))+(I68)</f>
        <v>0</v>
      </c>
      <c r="J69" s="268">
        <f>(((J65)+(J66))+(J67))+(J68)</f>
        <v>504</v>
      </c>
      <c r="K69" s="268">
        <f>(((K65)+(K66))+(K67))+(K68)</f>
        <v>205</v>
      </c>
      <c r="L69" s="268">
        <f>(((L65)+(L66))+(L67))+(L68)</f>
        <v>0</v>
      </c>
      <c r="M69" s="196">
        <f t="shared" si="8"/>
        <v>709</v>
      </c>
      <c r="N69" s="262">
        <f t="shared" si="9"/>
        <v>778.6</v>
      </c>
      <c r="O69" s="196">
        <f>(((O65)+(O66))+(O67))+(O68)</f>
        <v>0</v>
      </c>
      <c r="P69" s="196">
        <f>(((P65)+(P66))+(P67))+(P68)</f>
        <v>2035.4499999999998</v>
      </c>
      <c r="Q69" s="196">
        <f>(((Q65)+(Q66))+(Q67))+(Q68)</f>
        <v>0</v>
      </c>
      <c r="R69" s="196">
        <f t="shared" si="10"/>
        <v>2035.4499999999998</v>
      </c>
      <c r="S69" s="196">
        <f>(((S65)+(S66))+(S67))+(S68)</f>
        <v>0</v>
      </c>
      <c r="T69" s="196">
        <f>(((T65)+(T66))+(T67))+(T68)</f>
        <v>0</v>
      </c>
      <c r="U69" s="196">
        <f>(((U65)+(U66))+(U67))+(U68)</f>
        <v>0</v>
      </c>
      <c r="V69" s="196">
        <f>(((V65)+(V66))+(V67))+(V68)</f>
        <v>0</v>
      </c>
      <c r="W69" s="196">
        <f t="shared" si="11"/>
        <v>0</v>
      </c>
      <c r="X69" s="200">
        <f t="shared" si="12"/>
        <v>2035.4499999999998</v>
      </c>
      <c r="Y69" s="204">
        <f t="shared" si="13"/>
        <v>2814.0499999999997</v>
      </c>
    </row>
    <row r="70" spans="1:25" x14ac:dyDescent="0.25">
      <c r="A70" s="194" t="s">
        <v>73</v>
      </c>
      <c r="B70" s="266"/>
      <c r="C70" s="266"/>
      <c r="D70" s="195"/>
      <c r="E70" s="266"/>
      <c r="F70" s="195"/>
      <c r="G70" s="191">
        <f t="shared" si="7"/>
        <v>0</v>
      </c>
      <c r="H70" s="266"/>
      <c r="I70" s="195"/>
      <c r="J70" s="266"/>
      <c r="K70" s="266"/>
      <c r="L70" s="266"/>
      <c r="M70" s="191">
        <f t="shared" si="8"/>
        <v>0</v>
      </c>
      <c r="N70" s="261">
        <f t="shared" si="9"/>
        <v>0</v>
      </c>
      <c r="O70" s="195"/>
      <c r="P70" s="191">
        <f>1.46</f>
        <v>1.46</v>
      </c>
      <c r="Q70" s="195"/>
      <c r="R70" s="191">
        <f t="shared" si="10"/>
        <v>1.46</v>
      </c>
      <c r="S70" s="195"/>
      <c r="T70" s="195"/>
      <c r="U70" s="195"/>
      <c r="V70" s="195"/>
      <c r="W70" s="191">
        <f t="shared" si="11"/>
        <v>0</v>
      </c>
      <c r="X70" s="199">
        <f t="shared" si="12"/>
        <v>1.46</v>
      </c>
      <c r="Y70" s="203">
        <f t="shared" si="13"/>
        <v>1.46</v>
      </c>
    </row>
    <row r="71" spans="1:25" x14ac:dyDescent="0.25">
      <c r="A71" s="194" t="s">
        <v>74</v>
      </c>
      <c r="B71" s="266"/>
      <c r="C71" s="266"/>
      <c r="D71" s="195"/>
      <c r="E71" s="266"/>
      <c r="F71" s="195"/>
      <c r="G71" s="191">
        <f t="shared" si="7"/>
        <v>0</v>
      </c>
      <c r="H71" s="267">
        <f>115.2</f>
        <v>115.2</v>
      </c>
      <c r="I71" s="195"/>
      <c r="J71" s="266"/>
      <c r="K71" s="266"/>
      <c r="L71" s="266"/>
      <c r="M71" s="191">
        <f t="shared" si="8"/>
        <v>0</v>
      </c>
      <c r="N71" s="261">
        <f t="shared" si="9"/>
        <v>115.2</v>
      </c>
      <c r="O71" s="195"/>
      <c r="P71" s="191">
        <f>916.13</f>
        <v>916.13</v>
      </c>
      <c r="Q71" s="195"/>
      <c r="R71" s="191">
        <f t="shared" si="10"/>
        <v>916.13</v>
      </c>
      <c r="S71" s="195"/>
      <c r="T71" s="195"/>
      <c r="U71" s="195"/>
      <c r="V71" s="195"/>
      <c r="W71" s="191">
        <f t="shared" si="11"/>
        <v>0</v>
      </c>
      <c r="X71" s="199">
        <f t="shared" si="12"/>
        <v>916.13</v>
      </c>
      <c r="Y71" s="203">
        <f t="shared" si="13"/>
        <v>1031.33</v>
      </c>
    </row>
    <row r="72" spans="1:25" x14ac:dyDescent="0.25">
      <c r="A72" s="194" t="s">
        <v>594</v>
      </c>
      <c r="B72" s="266"/>
      <c r="C72" s="266"/>
      <c r="D72" s="195"/>
      <c r="E72" s="266"/>
      <c r="F72" s="195"/>
      <c r="G72" s="191">
        <f t="shared" si="7"/>
        <v>0</v>
      </c>
      <c r="H72" s="266"/>
      <c r="I72" s="195"/>
      <c r="J72" s="266"/>
      <c r="K72" s="266"/>
      <c r="L72" s="266"/>
      <c r="M72" s="191">
        <f t="shared" si="8"/>
        <v>0</v>
      </c>
      <c r="N72" s="261">
        <f t="shared" si="9"/>
        <v>0</v>
      </c>
      <c r="O72" s="195"/>
      <c r="P72" s="191">
        <f>797.9</f>
        <v>797.9</v>
      </c>
      <c r="Q72" s="195"/>
      <c r="R72" s="191">
        <f t="shared" si="10"/>
        <v>797.9</v>
      </c>
      <c r="S72" s="195"/>
      <c r="T72" s="195"/>
      <c r="U72" s="195"/>
      <c r="V72" s="195"/>
      <c r="W72" s="191">
        <f t="shared" si="11"/>
        <v>0</v>
      </c>
      <c r="X72" s="199">
        <f t="shared" si="12"/>
        <v>797.9</v>
      </c>
      <c r="Y72" s="203">
        <f t="shared" si="13"/>
        <v>797.9</v>
      </c>
    </row>
    <row r="73" spans="1:25" x14ac:dyDescent="0.25">
      <c r="A73" s="194" t="s">
        <v>75</v>
      </c>
      <c r="B73" s="266"/>
      <c r="C73" s="266"/>
      <c r="D73" s="195"/>
      <c r="E73" s="266"/>
      <c r="F73" s="195"/>
      <c r="G73" s="191">
        <f t="shared" si="7"/>
        <v>0</v>
      </c>
      <c r="H73" s="266"/>
      <c r="I73" s="195"/>
      <c r="J73" s="266"/>
      <c r="K73" s="266"/>
      <c r="L73" s="266"/>
      <c r="M73" s="191">
        <f t="shared" si="8"/>
        <v>0</v>
      </c>
      <c r="N73" s="261">
        <f t="shared" si="9"/>
        <v>0</v>
      </c>
      <c r="O73" s="195"/>
      <c r="P73" s="191">
        <f>697.49</f>
        <v>697.49</v>
      </c>
      <c r="Q73" s="195"/>
      <c r="R73" s="191">
        <f t="shared" si="10"/>
        <v>697.49</v>
      </c>
      <c r="S73" s="195"/>
      <c r="T73" s="195"/>
      <c r="U73" s="195"/>
      <c r="V73" s="195"/>
      <c r="W73" s="191">
        <f t="shared" si="11"/>
        <v>0</v>
      </c>
      <c r="X73" s="199">
        <f t="shared" si="12"/>
        <v>697.49</v>
      </c>
      <c r="Y73" s="203">
        <f t="shared" si="13"/>
        <v>697.49</v>
      </c>
    </row>
    <row r="74" spans="1:25" x14ac:dyDescent="0.25">
      <c r="A74" s="194" t="s">
        <v>76</v>
      </c>
      <c r="B74" s="266"/>
      <c r="C74" s="266"/>
      <c r="D74" s="195"/>
      <c r="E74" s="266"/>
      <c r="F74" s="195"/>
      <c r="G74" s="191">
        <f t="shared" si="7"/>
        <v>0</v>
      </c>
      <c r="H74" s="266"/>
      <c r="I74" s="195"/>
      <c r="J74" s="266"/>
      <c r="K74" s="266"/>
      <c r="L74" s="266"/>
      <c r="M74" s="191">
        <f t="shared" si="8"/>
        <v>0</v>
      </c>
      <c r="N74" s="261">
        <f t="shared" si="9"/>
        <v>0</v>
      </c>
      <c r="O74" s="195"/>
      <c r="P74" s="191">
        <f>64.48</f>
        <v>64.48</v>
      </c>
      <c r="Q74" s="195"/>
      <c r="R74" s="191">
        <f t="shared" si="10"/>
        <v>64.48</v>
      </c>
      <c r="S74" s="195"/>
      <c r="T74" s="195"/>
      <c r="U74" s="195"/>
      <c r="V74" s="195"/>
      <c r="W74" s="191">
        <f t="shared" si="11"/>
        <v>0</v>
      </c>
      <c r="X74" s="199">
        <f t="shared" si="12"/>
        <v>64.48</v>
      </c>
      <c r="Y74" s="203">
        <f t="shared" si="13"/>
        <v>64.48</v>
      </c>
    </row>
    <row r="75" spans="1:25" x14ac:dyDescent="0.25">
      <c r="A75" s="194" t="s">
        <v>77</v>
      </c>
      <c r="B75" s="266"/>
      <c r="C75" s="266"/>
      <c r="D75" s="195"/>
      <c r="E75" s="266"/>
      <c r="F75" s="195"/>
      <c r="G75" s="191">
        <f t="shared" si="7"/>
        <v>0</v>
      </c>
      <c r="H75" s="267">
        <f>163</f>
        <v>163</v>
      </c>
      <c r="I75" s="195"/>
      <c r="J75" s="266"/>
      <c r="K75" s="266"/>
      <c r="L75" s="266"/>
      <c r="M75" s="191">
        <f t="shared" si="8"/>
        <v>0</v>
      </c>
      <c r="N75" s="261">
        <f t="shared" si="9"/>
        <v>163</v>
      </c>
      <c r="O75" s="195"/>
      <c r="P75" s="191">
        <f>866.94</f>
        <v>866.94</v>
      </c>
      <c r="Q75" s="195"/>
      <c r="R75" s="191">
        <f t="shared" si="10"/>
        <v>866.94</v>
      </c>
      <c r="S75" s="195"/>
      <c r="T75" s="195"/>
      <c r="U75" s="195"/>
      <c r="V75" s="195"/>
      <c r="W75" s="191">
        <f t="shared" si="11"/>
        <v>0</v>
      </c>
      <c r="X75" s="199">
        <f t="shared" si="12"/>
        <v>866.94</v>
      </c>
      <c r="Y75" s="203">
        <f t="shared" si="13"/>
        <v>1029.94</v>
      </c>
    </row>
    <row r="76" spans="1:25" x14ac:dyDescent="0.25">
      <c r="A76" s="194" t="s">
        <v>78</v>
      </c>
      <c r="B76" s="266"/>
      <c r="C76" s="266"/>
      <c r="D76" s="195"/>
      <c r="E76" s="266"/>
      <c r="F76" s="195"/>
      <c r="G76" s="191">
        <f t="shared" si="7"/>
        <v>0</v>
      </c>
      <c r="H76" s="267">
        <f>590</f>
        <v>590</v>
      </c>
      <c r="I76" s="195"/>
      <c r="J76" s="266"/>
      <c r="K76" s="266"/>
      <c r="L76" s="266"/>
      <c r="M76" s="191">
        <f t="shared" si="8"/>
        <v>0</v>
      </c>
      <c r="N76" s="261">
        <f t="shared" si="9"/>
        <v>590</v>
      </c>
      <c r="O76" s="195"/>
      <c r="P76" s="191">
        <f>1624.25</f>
        <v>1624.25</v>
      </c>
      <c r="Q76" s="195"/>
      <c r="R76" s="191">
        <f t="shared" si="10"/>
        <v>1624.25</v>
      </c>
      <c r="S76" s="195"/>
      <c r="T76" s="191">
        <f>299</f>
        <v>299</v>
      </c>
      <c r="U76" s="195"/>
      <c r="V76" s="195"/>
      <c r="W76" s="191">
        <f t="shared" si="11"/>
        <v>299</v>
      </c>
      <c r="X76" s="199">
        <f t="shared" si="12"/>
        <v>1923.25</v>
      </c>
      <c r="Y76" s="203">
        <f t="shared" si="13"/>
        <v>2513.25</v>
      </c>
    </row>
    <row r="77" spans="1:25" x14ac:dyDescent="0.25">
      <c r="A77" s="194" t="s">
        <v>79</v>
      </c>
      <c r="B77" s="266"/>
      <c r="C77" s="266"/>
      <c r="D77" s="195"/>
      <c r="E77" s="266"/>
      <c r="F77" s="195"/>
      <c r="G77" s="191">
        <f t="shared" si="7"/>
        <v>0</v>
      </c>
      <c r="H77" s="266"/>
      <c r="I77" s="195"/>
      <c r="J77" s="266"/>
      <c r="K77" s="266"/>
      <c r="L77" s="266"/>
      <c r="M77" s="191">
        <f t="shared" si="8"/>
        <v>0</v>
      </c>
      <c r="N77" s="261">
        <f t="shared" si="9"/>
        <v>0</v>
      </c>
      <c r="O77" s="195"/>
      <c r="P77" s="191">
        <f>972.64</f>
        <v>972.64</v>
      </c>
      <c r="Q77" s="195"/>
      <c r="R77" s="191">
        <f t="shared" si="10"/>
        <v>972.64</v>
      </c>
      <c r="S77" s="195"/>
      <c r="T77" s="195"/>
      <c r="U77" s="195"/>
      <c r="V77" s="195"/>
      <c r="W77" s="191">
        <f t="shared" si="11"/>
        <v>0</v>
      </c>
      <c r="X77" s="199">
        <f t="shared" si="12"/>
        <v>972.64</v>
      </c>
      <c r="Y77" s="203">
        <f t="shared" si="13"/>
        <v>972.64</v>
      </c>
    </row>
    <row r="78" spans="1:25" x14ac:dyDescent="0.25">
      <c r="A78" s="194" t="s">
        <v>80</v>
      </c>
      <c r="B78" s="266"/>
      <c r="C78" s="266"/>
      <c r="D78" s="195"/>
      <c r="E78" s="266"/>
      <c r="F78" s="195"/>
      <c r="G78" s="191">
        <f t="shared" si="7"/>
        <v>0</v>
      </c>
      <c r="H78" s="266"/>
      <c r="I78" s="195"/>
      <c r="J78" s="266"/>
      <c r="K78" s="266"/>
      <c r="L78" s="266"/>
      <c r="M78" s="191">
        <f t="shared" si="8"/>
        <v>0</v>
      </c>
      <c r="N78" s="261">
        <f t="shared" si="9"/>
        <v>0</v>
      </c>
      <c r="O78" s="195"/>
      <c r="P78" s="191">
        <f>440.94</f>
        <v>440.94</v>
      </c>
      <c r="Q78" s="195"/>
      <c r="R78" s="191">
        <f t="shared" si="10"/>
        <v>440.94</v>
      </c>
      <c r="S78" s="191">
        <f>4.74</f>
        <v>4.74</v>
      </c>
      <c r="T78" s="195"/>
      <c r="U78" s="195"/>
      <c r="V78" s="195"/>
      <c r="W78" s="191">
        <f t="shared" si="11"/>
        <v>4.74</v>
      </c>
      <c r="X78" s="199">
        <f t="shared" si="12"/>
        <v>445.68</v>
      </c>
      <c r="Y78" s="203">
        <f t="shared" si="13"/>
        <v>445.68</v>
      </c>
    </row>
    <row r="79" spans="1:25" x14ac:dyDescent="0.25">
      <c r="A79" s="194" t="s">
        <v>81</v>
      </c>
      <c r="B79" s="266"/>
      <c r="C79" s="266"/>
      <c r="D79" s="195"/>
      <c r="E79" s="266"/>
      <c r="F79" s="195"/>
      <c r="G79" s="191">
        <f t="shared" si="7"/>
        <v>0</v>
      </c>
      <c r="H79" s="266"/>
      <c r="I79" s="195"/>
      <c r="J79" s="266"/>
      <c r="K79" s="266"/>
      <c r="L79" s="266"/>
      <c r="M79" s="191">
        <f t="shared" si="8"/>
        <v>0</v>
      </c>
      <c r="N79" s="261">
        <f t="shared" si="9"/>
        <v>0</v>
      </c>
      <c r="O79" s="195"/>
      <c r="P79" s="195"/>
      <c r="Q79" s="195"/>
      <c r="R79" s="191">
        <f t="shared" si="10"/>
        <v>0</v>
      </c>
      <c r="S79" s="195"/>
      <c r="T79" s="195"/>
      <c r="U79" s="195"/>
      <c r="V79" s="195"/>
      <c r="W79" s="191">
        <f t="shared" si="11"/>
        <v>0</v>
      </c>
      <c r="X79" s="199">
        <f t="shared" si="12"/>
        <v>0</v>
      </c>
      <c r="Y79" s="203">
        <f t="shared" si="13"/>
        <v>0</v>
      </c>
    </row>
    <row r="80" spans="1:25" x14ac:dyDescent="0.25">
      <c r="A80" s="194" t="s">
        <v>82</v>
      </c>
      <c r="B80" s="266"/>
      <c r="C80" s="266"/>
      <c r="D80" s="195"/>
      <c r="E80" s="266"/>
      <c r="F80" s="195"/>
      <c r="G80" s="191">
        <f t="shared" si="7"/>
        <v>0</v>
      </c>
      <c r="H80" s="266"/>
      <c r="I80" s="195"/>
      <c r="J80" s="266"/>
      <c r="K80" s="266"/>
      <c r="L80" s="266"/>
      <c r="M80" s="191">
        <f t="shared" si="8"/>
        <v>0</v>
      </c>
      <c r="N80" s="261">
        <f t="shared" si="9"/>
        <v>0</v>
      </c>
      <c r="O80" s="195"/>
      <c r="P80" s="191">
        <f>160</f>
        <v>160</v>
      </c>
      <c r="Q80" s="195"/>
      <c r="R80" s="191">
        <f t="shared" si="10"/>
        <v>160</v>
      </c>
      <c r="S80" s="195"/>
      <c r="T80" s="195"/>
      <c r="U80" s="195"/>
      <c r="V80" s="195"/>
      <c r="W80" s="191">
        <f t="shared" si="11"/>
        <v>0</v>
      </c>
      <c r="X80" s="199">
        <f t="shared" si="12"/>
        <v>160</v>
      </c>
      <c r="Y80" s="203">
        <f t="shared" si="13"/>
        <v>160</v>
      </c>
    </row>
    <row r="81" spans="1:25" x14ac:dyDescent="0.25">
      <c r="A81" s="194" t="s">
        <v>83</v>
      </c>
      <c r="B81" s="268">
        <f>(B79)+(B80)</f>
        <v>0</v>
      </c>
      <c r="C81" s="268">
        <f>(C79)+(C80)</f>
        <v>0</v>
      </c>
      <c r="D81" s="196">
        <f>(D79)+(D80)</f>
        <v>0</v>
      </c>
      <c r="E81" s="268">
        <f>(E79)+(E80)</f>
        <v>0</v>
      </c>
      <c r="F81" s="196">
        <f>(F79)+(F80)</f>
        <v>0</v>
      </c>
      <c r="G81" s="196">
        <f t="shared" si="7"/>
        <v>0</v>
      </c>
      <c r="H81" s="268">
        <f>(H79)+(H80)</f>
        <v>0</v>
      </c>
      <c r="I81" s="196">
        <f>(I79)+(I80)</f>
        <v>0</v>
      </c>
      <c r="J81" s="268">
        <f>(J79)+(J80)</f>
        <v>0</v>
      </c>
      <c r="K81" s="268">
        <f>(K79)+(K80)</f>
        <v>0</v>
      </c>
      <c r="L81" s="268">
        <f>(L79)+(L80)</f>
        <v>0</v>
      </c>
      <c r="M81" s="196">
        <f t="shared" si="8"/>
        <v>0</v>
      </c>
      <c r="N81" s="262">
        <f t="shared" si="9"/>
        <v>0</v>
      </c>
      <c r="O81" s="196">
        <f>(O79)+(O80)</f>
        <v>0</v>
      </c>
      <c r="P81" s="196">
        <f>(P79)+(P80)</f>
        <v>160</v>
      </c>
      <c r="Q81" s="196">
        <f>(Q79)+(Q80)</f>
        <v>0</v>
      </c>
      <c r="R81" s="196">
        <f t="shared" si="10"/>
        <v>160</v>
      </c>
      <c r="S81" s="196">
        <f>(S79)+(S80)</f>
        <v>0</v>
      </c>
      <c r="T81" s="196">
        <f>(T79)+(T80)</f>
        <v>0</v>
      </c>
      <c r="U81" s="196">
        <f>(U79)+(U80)</f>
        <v>0</v>
      </c>
      <c r="V81" s="196">
        <f>(V79)+(V80)</f>
        <v>0</v>
      </c>
      <c r="W81" s="196">
        <f t="shared" si="11"/>
        <v>0</v>
      </c>
      <c r="X81" s="200">
        <f t="shared" si="12"/>
        <v>160</v>
      </c>
      <c r="Y81" s="204">
        <f t="shared" si="13"/>
        <v>160</v>
      </c>
    </row>
    <row r="82" spans="1:25" x14ac:dyDescent="0.25">
      <c r="A82" s="194" t="s">
        <v>84</v>
      </c>
      <c r="B82" s="266"/>
      <c r="C82" s="266"/>
      <c r="D82" s="195"/>
      <c r="E82" s="266"/>
      <c r="F82" s="195"/>
      <c r="G82" s="191">
        <f t="shared" si="7"/>
        <v>0</v>
      </c>
      <c r="H82" s="266"/>
      <c r="I82" s="195"/>
      <c r="J82" s="266"/>
      <c r="K82" s="266"/>
      <c r="L82" s="266"/>
      <c r="M82" s="191">
        <f t="shared" si="8"/>
        <v>0</v>
      </c>
      <c r="N82" s="261">
        <f t="shared" si="9"/>
        <v>0</v>
      </c>
      <c r="O82" s="195"/>
      <c r="P82" s="195"/>
      <c r="Q82" s="191">
        <f>88.02</f>
        <v>88.02</v>
      </c>
      <c r="R82" s="191">
        <f t="shared" si="10"/>
        <v>88.02</v>
      </c>
      <c r="S82" s="195"/>
      <c r="T82" s="195"/>
      <c r="U82" s="195"/>
      <c r="V82" s="195"/>
      <c r="W82" s="191">
        <f t="shared" si="11"/>
        <v>0</v>
      </c>
      <c r="X82" s="199">
        <f t="shared" si="12"/>
        <v>88.02</v>
      </c>
      <c r="Y82" s="203">
        <f t="shared" si="13"/>
        <v>88.02</v>
      </c>
    </row>
    <row r="83" spans="1:25" x14ac:dyDescent="0.25">
      <c r="A83" s="194" t="s">
        <v>467</v>
      </c>
      <c r="B83" s="266"/>
      <c r="C83" s="266"/>
      <c r="D83" s="195"/>
      <c r="E83" s="266"/>
      <c r="F83" s="195"/>
      <c r="G83" s="191">
        <f t="shared" si="7"/>
        <v>0</v>
      </c>
      <c r="H83" s="266"/>
      <c r="I83" s="195"/>
      <c r="J83" s="266"/>
      <c r="K83" s="266"/>
      <c r="L83" s="266"/>
      <c r="M83" s="191">
        <f t="shared" si="8"/>
        <v>0</v>
      </c>
      <c r="N83" s="261">
        <f t="shared" si="9"/>
        <v>0</v>
      </c>
      <c r="O83" s="195"/>
      <c r="P83" s="195"/>
      <c r="Q83" s="191">
        <f>7</f>
        <v>7</v>
      </c>
      <c r="R83" s="191">
        <f t="shared" si="10"/>
        <v>7</v>
      </c>
      <c r="S83" s="195"/>
      <c r="T83" s="195"/>
      <c r="U83" s="195"/>
      <c r="V83" s="195"/>
      <c r="W83" s="191">
        <f t="shared" si="11"/>
        <v>0</v>
      </c>
      <c r="X83" s="199">
        <f t="shared" si="12"/>
        <v>7</v>
      </c>
      <c r="Y83" s="203">
        <f t="shared" si="13"/>
        <v>7</v>
      </c>
    </row>
    <row r="84" spans="1:25" x14ac:dyDescent="0.25">
      <c r="A84" s="194" t="s">
        <v>85</v>
      </c>
      <c r="B84" s="266"/>
      <c r="C84" s="266"/>
      <c r="D84" s="195"/>
      <c r="E84" s="266"/>
      <c r="F84" s="195"/>
      <c r="G84" s="191">
        <f t="shared" si="7"/>
        <v>0</v>
      </c>
      <c r="H84" s="267">
        <f>44.52</f>
        <v>44.52</v>
      </c>
      <c r="I84" s="195"/>
      <c r="J84" s="266"/>
      <c r="K84" s="266"/>
      <c r="L84" s="266"/>
      <c r="M84" s="191">
        <f t="shared" si="8"/>
        <v>0</v>
      </c>
      <c r="N84" s="261">
        <f t="shared" si="9"/>
        <v>44.52</v>
      </c>
      <c r="O84" s="195"/>
      <c r="P84" s="191">
        <f>25</f>
        <v>25</v>
      </c>
      <c r="Q84" s="195"/>
      <c r="R84" s="191">
        <f t="shared" si="10"/>
        <v>25</v>
      </c>
      <c r="S84" s="195"/>
      <c r="T84" s="195"/>
      <c r="U84" s="195"/>
      <c r="V84" s="195"/>
      <c r="W84" s="191">
        <f t="shared" si="11"/>
        <v>0</v>
      </c>
      <c r="X84" s="199">
        <f t="shared" si="12"/>
        <v>25</v>
      </c>
      <c r="Y84" s="203">
        <f t="shared" si="13"/>
        <v>69.52000000000001</v>
      </c>
    </row>
    <row r="85" spans="1:25" x14ac:dyDescent="0.25">
      <c r="A85" s="194" t="s">
        <v>86</v>
      </c>
      <c r="B85" s="268">
        <f>((B82)+(B83))+(B84)</f>
        <v>0</v>
      </c>
      <c r="C85" s="268">
        <f>((C82)+(C83))+(C84)</f>
        <v>0</v>
      </c>
      <c r="D85" s="196">
        <f>((D82)+(D83))+(D84)</f>
        <v>0</v>
      </c>
      <c r="E85" s="268">
        <f>((E82)+(E83))+(E84)</f>
        <v>0</v>
      </c>
      <c r="F85" s="196">
        <f>((F82)+(F83))+(F84)</f>
        <v>0</v>
      </c>
      <c r="G85" s="196">
        <f t="shared" si="7"/>
        <v>0</v>
      </c>
      <c r="H85" s="268">
        <f>((H82)+(H83))+(H84)</f>
        <v>44.52</v>
      </c>
      <c r="I85" s="196">
        <f>((I82)+(I83))+(I84)</f>
        <v>0</v>
      </c>
      <c r="J85" s="268">
        <f>((J82)+(J83))+(J84)</f>
        <v>0</v>
      </c>
      <c r="K85" s="268">
        <f>((K82)+(K83))+(K84)</f>
        <v>0</v>
      </c>
      <c r="L85" s="268">
        <f>((L82)+(L83))+(L84)</f>
        <v>0</v>
      </c>
      <c r="M85" s="196">
        <f t="shared" si="8"/>
        <v>0</v>
      </c>
      <c r="N85" s="262">
        <f t="shared" si="9"/>
        <v>44.52</v>
      </c>
      <c r="O85" s="196">
        <f>((O82)+(O83))+(O84)</f>
        <v>0</v>
      </c>
      <c r="P85" s="196">
        <f>((P82)+(P83))+(P84)</f>
        <v>25</v>
      </c>
      <c r="Q85" s="196">
        <f>((Q82)+(Q83))+(Q84)</f>
        <v>95.02</v>
      </c>
      <c r="R85" s="196">
        <f t="shared" si="10"/>
        <v>120.02</v>
      </c>
      <c r="S85" s="196">
        <f>((S82)+(S83))+(S84)</f>
        <v>0</v>
      </c>
      <c r="T85" s="196">
        <f>((T82)+(T83))+(T84)</f>
        <v>0</v>
      </c>
      <c r="U85" s="196">
        <f>((U82)+(U83))+(U84)</f>
        <v>0</v>
      </c>
      <c r="V85" s="196">
        <f>((V82)+(V83))+(V84)</f>
        <v>0</v>
      </c>
      <c r="W85" s="196">
        <f t="shared" si="11"/>
        <v>0</v>
      </c>
      <c r="X85" s="200">
        <f t="shared" si="12"/>
        <v>120.02</v>
      </c>
      <c r="Y85" s="204">
        <f t="shared" si="13"/>
        <v>164.54</v>
      </c>
    </row>
    <row r="86" spans="1:25" x14ac:dyDescent="0.25">
      <c r="A86" s="194" t="s">
        <v>87</v>
      </c>
      <c r="B86" s="266"/>
      <c r="C86" s="266"/>
      <c r="D86" s="195"/>
      <c r="E86" s="266"/>
      <c r="F86" s="195"/>
      <c r="G86" s="191">
        <f t="shared" si="7"/>
        <v>0</v>
      </c>
      <c r="H86" s="266"/>
      <c r="I86" s="195"/>
      <c r="J86" s="266"/>
      <c r="K86" s="266"/>
      <c r="L86" s="266"/>
      <c r="M86" s="191">
        <f t="shared" si="8"/>
        <v>0</v>
      </c>
      <c r="N86" s="261">
        <f t="shared" si="9"/>
        <v>0</v>
      </c>
      <c r="O86" s="195"/>
      <c r="P86" s="191">
        <f>139</f>
        <v>139</v>
      </c>
      <c r="Q86" s="195"/>
      <c r="R86" s="191">
        <f t="shared" si="10"/>
        <v>139</v>
      </c>
      <c r="S86" s="195"/>
      <c r="T86" s="195"/>
      <c r="U86" s="195"/>
      <c r="V86" s="195"/>
      <c r="W86" s="191">
        <f t="shared" si="11"/>
        <v>0</v>
      </c>
      <c r="X86" s="199">
        <f t="shared" si="12"/>
        <v>139</v>
      </c>
      <c r="Y86" s="203">
        <f t="shared" si="13"/>
        <v>139</v>
      </c>
    </row>
    <row r="87" spans="1:25" x14ac:dyDescent="0.25">
      <c r="A87" s="194" t="s">
        <v>483</v>
      </c>
      <c r="B87" s="266"/>
      <c r="C87" s="266"/>
      <c r="D87" s="195"/>
      <c r="E87" s="266"/>
      <c r="F87" s="195"/>
      <c r="G87" s="191">
        <f t="shared" si="7"/>
        <v>0</v>
      </c>
      <c r="H87" s="266"/>
      <c r="I87" s="195"/>
      <c r="J87" s="266"/>
      <c r="K87" s="266"/>
      <c r="L87" s="266"/>
      <c r="M87" s="191">
        <f t="shared" si="8"/>
        <v>0</v>
      </c>
      <c r="N87" s="261">
        <f t="shared" si="9"/>
        <v>0</v>
      </c>
      <c r="O87" s="195"/>
      <c r="P87" s="191">
        <f>-225.85</f>
        <v>-225.85</v>
      </c>
      <c r="Q87" s="195"/>
      <c r="R87" s="191">
        <f t="shared" si="10"/>
        <v>-225.85</v>
      </c>
      <c r="S87" s="195"/>
      <c r="T87" s="195"/>
      <c r="U87" s="195"/>
      <c r="V87" s="195"/>
      <c r="W87" s="191">
        <f t="shared" si="11"/>
        <v>0</v>
      </c>
      <c r="X87" s="199">
        <f t="shared" si="12"/>
        <v>-225.85</v>
      </c>
      <c r="Y87" s="203">
        <f t="shared" si="13"/>
        <v>-225.85</v>
      </c>
    </row>
    <row r="88" spans="1:25" x14ac:dyDescent="0.25">
      <c r="A88" s="194" t="s">
        <v>88</v>
      </c>
      <c r="B88" s="266"/>
      <c r="C88" s="266"/>
      <c r="D88" s="195"/>
      <c r="E88" s="266"/>
      <c r="F88" s="191">
        <f>38.38</f>
        <v>38.380000000000003</v>
      </c>
      <c r="G88" s="191">
        <f t="shared" si="7"/>
        <v>38.380000000000003</v>
      </c>
      <c r="H88" s="266"/>
      <c r="I88" s="195"/>
      <c r="J88" s="266"/>
      <c r="K88" s="266"/>
      <c r="L88" s="266"/>
      <c r="M88" s="191">
        <f t="shared" si="8"/>
        <v>0</v>
      </c>
      <c r="N88" s="261">
        <f t="shared" si="9"/>
        <v>38.380000000000003</v>
      </c>
      <c r="O88" s="195"/>
      <c r="P88" s="191">
        <f>12.86</f>
        <v>12.86</v>
      </c>
      <c r="Q88" s="195"/>
      <c r="R88" s="191">
        <f t="shared" si="10"/>
        <v>12.86</v>
      </c>
      <c r="S88" s="195"/>
      <c r="T88" s="195"/>
      <c r="U88" s="195"/>
      <c r="V88" s="195"/>
      <c r="W88" s="191">
        <f t="shared" si="11"/>
        <v>0</v>
      </c>
      <c r="X88" s="199">
        <f t="shared" si="12"/>
        <v>12.86</v>
      </c>
      <c r="Y88" s="203">
        <f t="shared" si="13"/>
        <v>51.24</v>
      </c>
    </row>
    <row r="89" spans="1:25" x14ac:dyDescent="0.25">
      <c r="A89" s="194" t="s">
        <v>89</v>
      </c>
      <c r="B89" s="268">
        <f>(((((((((((((B70)+(B71))+(B72))+(B73))+(B74))+(B75))+(B76))+(B77))+(B78))+(B81))+(B85))+(B86))+(B87))+(B88)</f>
        <v>0</v>
      </c>
      <c r="C89" s="268">
        <f>(((((((((((((C70)+(C71))+(C72))+(C73))+(C74))+(C75))+(C76))+(C77))+(C78))+(C81))+(C85))+(C86))+(C87))+(C88)</f>
        <v>0</v>
      </c>
      <c r="D89" s="196">
        <f>(((((((((((((D70)+(D71))+(D72))+(D73))+(D74))+(D75))+(D76))+(D77))+(D78))+(D81))+(D85))+(D86))+(D87))+(D88)</f>
        <v>0</v>
      </c>
      <c r="E89" s="268">
        <f>(((((((((((((E70)+(E71))+(E72))+(E73))+(E74))+(E75))+(E76))+(E77))+(E78))+(E81))+(E85))+(E86))+(E87))+(E88)</f>
        <v>0</v>
      </c>
      <c r="F89" s="196">
        <f>(((((((((((((F70)+(F71))+(F72))+(F73))+(F74))+(F75))+(F76))+(F77))+(F78))+(F81))+(F85))+(F86))+(F87))+(F88)</f>
        <v>38.380000000000003</v>
      </c>
      <c r="G89" s="196">
        <f t="shared" si="7"/>
        <v>38.380000000000003</v>
      </c>
      <c r="H89" s="268">
        <f>(((((((((((((H70)+(H71))+(H72))+(H73))+(H74))+(H75))+(H76))+(H77))+(H78))+(H81))+(H85))+(H86))+(H87))+(H88)</f>
        <v>912.72</v>
      </c>
      <c r="I89" s="196">
        <f>(((((((((((((I70)+(I71))+(I72))+(I73))+(I74))+(I75))+(I76))+(I77))+(I78))+(I81))+(I85))+(I86))+(I87))+(I88)</f>
        <v>0</v>
      </c>
      <c r="J89" s="268">
        <f>(((((((((((((J70)+(J71))+(J72))+(J73))+(J74))+(J75))+(J76))+(J77))+(J78))+(J81))+(J85))+(J86))+(J87))+(J88)</f>
        <v>0</v>
      </c>
      <c r="K89" s="268">
        <f>(((((((((((((K70)+(K71))+(K72))+(K73))+(K74))+(K75))+(K76))+(K77))+(K78))+(K81))+(K85))+(K86))+(K87))+(K88)</f>
        <v>0</v>
      </c>
      <c r="L89" s="268">
        <f>(((((((((((((L70)+(L71))+(L72))+(L73))+(L74))+(L75))+(L76))+(L77))+(L78))+(L81))+(L85))+(L86))+(L87))+(L88)</f>
        <v>0</v>
      </c>
      <c r="M89" s="196">
        <f t="shared" si="8"/>
        <v>0</v>
      </c>
      <c r="N89" s="262">
        <f t="shared" si="9"/>
        <v>951.1</v>
      </c>
      <c r="O89" s="196">
        <f>(((((((((((((O70)+(O71))+(O72))+(O73))+(O74))+(O75))+(O76))+(O77))+(O78))+(O81))+(O85))+(O86))+(O87))+(O88)</f>
        <v>0</v>
      </c>
      <c r="P89" s="196">
        <f>(((((((((((((P70)+(P71))+(P72))+(P73))+(P74))+(P75))+(P76))+(P77))+(P78))+(P81))+(P85))+(P86))+(P87))+(P88)</f>
        <v>6493.2399999999989</v>
      </c>
      <c r="Q89" s="196">
        <f>(((((((((((((Q70)+(Q71))+(Q72))+(Q73))+(Q74))+(Q75))+(Q76))+(Q77))+(Q78))+(Q81))+(Q85))+(Q86))+(Q87))+(Q88)</f>
        <v>95.02</v>
      </c>
      <c r="R89" s="196">
        <f t="shared" si="10"/>
        <v>6588.2599999999993</v>
      </c>
      <c r="S89" s="196">
        <f>(((((((((((((S70)+(S71))+(S72))+(S73))+(S74))+(S75))+(S76))+(S77))+(S78))+(S81))+(S85))+(S86))+(S87))+(S88)</f>
        <v>4.74</v>
      </c>
      <c r="T89" s="196">
        <f>(((((((((((((T70)+(T71))+(T72))+(T73))+(T74))+(T75))+(T76))+(T77))+(T78))+(T81))+(T85))+(T86))+(T87))+(T88)</f>
        <v>299</v>
      </c>
      <c r="U89" s="196">
        <f>(((((((((((((U70)+(U71))+(U72))+(U73))+(U74))+(U75))+(U76))+(U77))+(U78))+(U81))+(U85))+(U86))+(U87))+(U88)</f>
        <v>0</v>
      </c>
      <c r="V89" s="196">
        <f>(((((((((((((V70)+(V71))+(V72))+(V73))+(V74))+(V75))+(V76))+(V77))+(V78))+(V81))+(V85))+(V86))+(V87))+(V88)</f>
        <v>0</v>
      </c>
      <c r="W89" s="196">
        <f t="shared" si="11"/>
        <v>303.74</v>
      </c>
      <c r="X89" s="200">
        <f t="shared" si="12"/>
        <v>6891.9999999999991</v>
      </c>
      <c r="Y89" s="204">
        <f t="shared" si="13"/>
        <v>7843.0999999999995</v>
      </c>
    </row>
    <row r="90" spans="1:25" x14ac:dyDescent="0.25">
      <c r="A90" s="194" t="s">
        <v>90</v>
      </c>
      <c r="B90" s="266"/>
      <c r="C90" s="266"/>
      <c r="D90" s="195"/>
      <c r="E90" s="266"/>
      <c r="F90" s="195"/>
      <c r="G90" s="191">
        <f t="shared" si="7"/>
        <v>0</v>
      </c>
      <c r="H90" s="266"/>
      <c r="I90" s="195"/>
      <c r="J90" s="266"/>
      <c r="K90" s="266"/>
      <c r="L90" s="266"/>
      <c r="M90" s="191">
        <f t="shared" si="8"/>
        <v>0</v>
      </c>
      <c r="N90" s="261">
        <f t="shared" si="9"/>
        <v>0</v>
      </c>
      <c r="O90" s="195"/>
      <c r="P90" s="195"/>
      <c r="Q90" s="195"/>
      <c r="R90" s="191">
        <f t="shared" si="10"/>
        <v>0</v>
      </c>
      <c r="S90" s="195"/>
      <c r="T90" s="195"/>
      <c r="U90" s="195"/>
      <c r="V90" s="195"/>
      <c r="W90" s="191">
        <f t="shared" si="11"/>
        <v>0</v>
      </c>
      <c r="X90" s="199">
        <f t="shared" si="12"/>
        <v>0</v>
      </c>
      <c r="Y90" s="203">
        <f t="shared" si="13"/>
        <v>0</v>
      </c>
    </row>
    <row r="91" spans="1:25" x14ac:dyDescent="0.25">
      <c r="A91" s="194" t="s">
        <v>91</v>
      </c>
      <c r="B91" s="266"/>
      <c r="C91" s="266"/>
      <c r="D91" s="195"/>
      <c r="E91" s="266"/>
      <c r="F91" s="195"/>
      <c r="G91" s="191">
        <f t="shared" si="7"/>
        <v>0</v>
      </c>
      <c r="H91" s="266"/>
      <c r="I91" s="195"/>
      <c r="J91" s="267">
        <f>270.79</f>
        <v>270.79000000000002</v>
      </c>
      <c r="K91" s="266"/>
      <c r="L91" s="266"/>
      <c r="M91" s="191">
        <f t="shared" si="8"/>
        <v>270.79000000000002</v>
      </c>
      <c r="N91" s="261">
        <f t="shared" si="9"/>
        <v>270.79000000000002</v>
      </c>
      <c r="O91" s="195"/>
      <c r="P91" s="195"/>
      <c r="Q91" s="195"/>
      <c r="R91" s="191">
        <f t="shared" si="10"/>
        <v>0</v>
      </c>
      <c r="S91" s="191">
        <f>610.24</f>
        <v>610.24</v>
      </c>
      <c r="T91" s="195"/>
      <c r="U91" s="195"/>
      <c r="V91" s="191">
        <f>12.05</f>
        <v>12.05</v>
      </c>
      <c r="W91" s="191">
        <f t="shared" si="11"/>
        <v>622.29</v>
      </c>
      <c r="X91" s="199">
        <f t="shared" si="12"/>
        <v>622.29</v>
      </c>
      <c r="Y91" s="203">
        <f t="shared" si="13"/>
        <v>893.07999999999993</v>
      </c>
    </row>
    <row r="92" spans="1:25" x14ac:dyDescent="0.25">
      <c r="A92" s="194" t="s">
        <v>468</v>
      </c>
      <c r="B92" s="266"/>
      <c r="C92" s="266"/>
      <c r="D92" s="195"/>
      <c r="E92" s="266"/>
      <c r="F92" s="195"/>
      <c r="G92" s="191">
        <f t="shared" si="7"/>
        <v>0</v>
      </c>
      <c r="H92" s="266"/>
      <c r="I92" s="195"/>
      <c r="J92" s="266"/>
      <c r="K92" s="266"/>
      <c r="L92" s="266">
        <v>1200</v>
      </c>
      <c r="M92" s="191">
        <f t="shared" si="8"/>
        <v>1200</v>
      </c>
      <c r="N92" s="261">
        <f t="shared" si="9"/>
        <v>1200</v>
      </c>
      <c r="O92" s="195"/>
      <c r="P92" s="195"/>
      <c r="Q92" s="195"/>
      <c r="R92" s="191">
        <f t="shared" si="10"/>
        <v>0</v>
      </c>
      <c r="S92" s="191">
        <f>30</f>
        <v>30</v>
      </c>
      <c r="T92" s="195"/>
      <c r="U92" s="195"/>
      <c r="V92" s="191">
        <f>1385-1200</f>
        <v>185</v>
      </c>
      <c r="W92" s="191">
        <f t="shared" si="11"/>
        <v>215</v>
      </c>
      <c r="X92" s="199">
        <f t="shared" si="12"/>
        <v>215</v>
      </c>
      <c r="Y92" s="203">
        <f t="shared" si="13"/>
        <v>1415</v>
      </c>
    </row>
    <row r="93" spans="1:25" x14ac:dyDescent="0.25">
      <c r="A93" s="194" t="s">
        <v>93</v>
      </c>
      <c r="B93" s="266"/>
      <c r="C93" s="266"/>
      <c r="D93" s="195"/>
      <c r="E93" s="266"/>
      <c r="F93" s="195"/>
      <c r="G93" s="191">
        <f t="shared" si="7"/>
        <v>0</v>
      </c>
      <c r="H93" s="266"/>
      <c r="I93" s="191">
        <f>40.09</f>
        <v>40.090000000000003</v>
      </c>
      <c r="J93" s="266"/>
      <c r="K93" s="266"/>
      <c r="L93" s="266"/>
      <c r="M93" s="191">
        <f t="shared" si="8"/>
        <v>0</v>
      </c>
      <c r="N93" s="261">
        <f t="shared" si="9"/>
        <v>40.090000000000003</v>
      </c>
      <c r="O93" s="195"/>
      <c r="P93" s="195"/>
      <c r="Q93" s="195"/>
      <c r="R93" s="191">
        <f t="shared" si="10"/>
        <v>0</v>
      </c>
      <c r="S93" s="191">
        <f>1790.32</f>
        <v>1790.32</v>
      </c>
      <c r="T93" s="191">
        <f>70.39</f>
        <v>70.39</v>
      </c>
      <c r="U93" s="195"/>
      <c r="V93" s="195"/>
      <c r="W93" s="191">
        <f t="shared" si="11"/>
        <v>1860.71</v>
      </c>
      <c r="X93" s="199">
        <f t="shared" si="12"/>
        <v>1860.71</v>
      </c>
      <c r="Y93" s="203">
        <f t="shared" si="13"/>
        <v>1900.8</v>
      </c>
    </row>
    <row r="94" spans="1:25" x14ac:dyDescent="0.25">
      <c r="A94" s="194" t="s">
        <v>469</v>
      </c>
      <c r="B94" s="266"/>
      <c r="C94" s="266"/>
      <c r="D94" s="195"/>
      <c r="E94" s="266"/>
      <c r="F94" s="195"/>
      <c r="G94" s="191">
        <f t="shared" ref="G94:G105" si="14">((D94)+(E94))+(F94)</f>
        <v>0</v>
      </c>
      <c r="H94" s="266"/>
      <c r="I94" s="195"/>
      <c r="J94" s="266"/>
      <c r="K94" s="267">
        <f>212.65</f>
        <v>212.65</v>
      </c>
      <c r="L94" s="266"/>
      <c r="M94" s="191">
        <f t="shared" ref="M94:M105" si="15">((J94)+(K94))+(L94)</f>
        <v>212.65</v>
      </c>
      <c r="N94" s="261">
        <f t="shared" ref="N94:N105" si="16">(((((B94)+(C94))+(G94))+(H94))+(I94))+(M94)</f>
        <v>212.65</v>
      </c>
      <c r="O94" s="195"/>
      <c r="P94" s="195"/>
      <c r="Q94" s="195"/>
      <c r="R94" s="191">
        <f t="shared" ref="R94:R105" si="17">(P94)+(Q94)</f>
        <v>0</v>
      </c>
      <c r="S94" s="195"/>
      <c r="T94" s="195"/>
      <c r="U94" s="195"/>
      <c r="V94" s="195"/>
      <c r="W94" s="191">
        <f t="shared" ref="W94:W105" si="18">(((S94)+(T94))+(U94))+(V94)</f>
        <v>0</v>
      </c>
      <c r="X94" s="199">
        <f t="shared" ref="X94:X105" si="19">((O94)+(R94))+(W94)</f>
        <v>0</v>
      </c>
      <c r="Y94" s="203">
        <f t="shared" ref="Y94:Y105" si="20">(N94)+(X94)</f>
        <v>212.65</v>
      </c>
    </row>
    <row r="95" spans="1:25" x14ac:dyDescent="0.25">
      <c r="A95" s="194" t="s">
        <v>470</v>
      </c>
      <c r="B95" s="266"/>
      <c r="C95" s="266"/>
      <c r="D95" s="195"/>
      <c r="E95" s="266"/>
      <c r="F95" s="195"/>
      <c r="G95" s="191">
        <f t="shared" si="14"/>
        <v>0</v>
      </c>
      <c r="H95" s="266"/>
      <c r="I95" s="195"/>
      <c r="J95" s="267">
        <f>43.52</f>
        <v>43.52</v>
      </c>
      <c r="K95" s="266"/>
      <c r="L95" s="267">
        <f>2632.02</f>
        <v>2632.02</v>
      </c>
      <c r="M95" s="191">
        <f t="shared" si="15"/>
        <v>2675.54</v>
      </c>
      <c r="N95" s="261">
        <f t="shared" si="16"/>
        <v>2675.54</v>
      </c>
      <c r="O95" s="195"/>
      <c r="P95" s="195"/>
      <c r="Q95" s="195"/>
      <c r="R95" s="191">
        <f t="shared" si="17"/>
        <v>0</v>
      </c>
      <c r="S95" s="195"/>
      <c r="T95" s="195"/>
      <c r="U95" s="195"/>
      <c r="V95" s="195"/>
      <c r="W95" s="191">
        <f t="shared" si="18"/>
        <v>0</v>
      </c>
      <c r="X95" s="199">
        <f t="shared" si="19"/>
        <v>0</v>
      </c>
      <c r="Y95" s="203">
        <f t="shared" si="20"/>
        <v>2675.54</v>
      </c>
    </row>
    <row r="96" spans="1:25" x14ac:dyDescent="0.25">
      <c r="A96" s="194" t="s">
        <v>94</v>
      </c>
      <c r="B96" s="268">
        <f>(((((B90)+(B91))+(B92))+(B93))+(B94))+(B95)</f>
        <v>0</v>
      </c>
      <c r="C96" s="268">
        <f>(((((C90)+(C91))+(C92))+(C93))+(C94))+(C95)</f>
        <v>0</v>
      </c>
      <c r="D96" s="196">
        <f>(((((D90)+(D91))+(D92))+(D93))+(D94))+(D95)</f>
        <v>0</v>
      </c>
      <c r="E96" s="268">
        <f>(((((E90)+(E91))+(E92))+(E93))+(E94))+(E95)</f>
        <v>0</v>
      </c>
      <c r="F96" s="196">
        <f>(((((F90)+(F91))+(F92))+(F93))+(F94))+(F95)</f>
        <v>0</v>
      </c>
      <c r="G96" s="196">
        <f t="shared" si="14"/>
        <v>0</v>
      </c>
      <c r="H96" s="268">
        <f>(((((H90)+(H91))+(H92))+(H93))+(H94))+(H95)</f>
        <v>0</v>
      </c>
      <c r="I96" s="196">
        <f>(((((I90)+(I91))+(I92))+(I93))+(I94))+(I95)</f>
        <v>40.090000000000003</v>
      </c>
      <c r="J96" s="268">
        <f>(((((J90)+(J91))+(J92))+(J93))+(J94))+(J95)</f>
        <v>314.31</v>
      </c>
      <c r="K96" s="268">
        <f>(((((K90)+(K91))+(K92))+(K93))+(K94))+(K95)</f>
        <v>212.65</v>
      </c>
      <c r="L96" s="268">
        <f>(((((L90)+(L91))+(L92))+(L93))+(L94))+(L95)</f>
        <v>3832.02</v>
      </c>
      <c r="M96" s="196">
        <f>((J96)+(K96))+(L96)</f>
        <v>4358.9799999999996</v>
      </c>
      <c r="N96" s="262">
        <f>(((((B96)+(C96))+(G96))+(H96))+(I96))+(M96)</f>
        <v>4399.07</v>
      </c>
      <c r="O96" s="196">
        <f>(((((O90)+(O91))+(O92))+(O93))+(O94))+(O95)</f>
        <v>0</v>
      </c>
      <c r="P96" s="196">
        <f>(((((P90)+(P91))+(P92))+(P93))+(P94))+(P95)</f>
        <v>0</v>
      </c>
      <c r="Q96" s="196">
        <f>(((((Q90)+(Q91))+(Q92))+(Q93))+(Q94))+(Q95)</f>
        <v>0</v>
      </c>
      <c r="R96" s="196">
        <f t="shared" si="17"/>
        <v>0</v>
      </c>
      <c r="S96" s="196">
        <f>(((((S90)+(S91))+(S92))+(S93))+(S94))+(S95)</f>
        <v>2430.56</v>
      </c>
      <c r="T96" s="196">
        <f>(((((T90)+(T91))+(T92))+(T93))+(T94))+(T95)</f>
        <v>70.39</v>
      </c>
      <c r="U96" s="196">
        <f>(((((U90)+(U91))+(U92))+(U93))+(U94))+(U95)</f>
        <v>0</v>
      </c>
      <c r="V96" s="196">
        <f>(((((V90)+(V91))+(V92))+(V93))+(V94))+(V95)</f>
        <v>197.05</v>
      </c>
      <c r="W96" s="196">
        <f t="shared" si="18"/>
        <v>2698</v>
      </c>
      <c r="X96" s="200">
        <f t="shared" si="19"/>
        <v>2698</v>
      </c>
      <c r="Y96" s="204">
        <f t="shared" si="20"/>
        <v>7097.07</v>
      </c>
    </row>
    <row r="97" spans="1:25" x14ac:dyDescent="0.25">
      <c r="A97" s="194" t="s">
        <v>471</v>
      </c>
      <c r="B97" s="266"/>
      <c r="C97" s="266"/>
      <c r="D97" s="195"/>
      <c r="E97" s="267">
        <f>545.46</f>
        <v>545.46</v>
      </c>
      <c r="F97" s="195"/>
      <c r="G97" s="191">
        <f t="shared" si="14"/>
        <v>545.46</v>
      </c>
      <c r="H97" s="266"/>
      <c r="I97" s="195"/>
      <c r="J97" s="267">
        <f>595.68</f>
        <v>595.67999999999995</v>
      </c>
      <c r="K97" s="266"/>
      <c r="L97" s="266"/>
      <c r="M97" s="191">
        <f t="shared" si="15"/>
        <v>595.67999999999995</v>
      </c>
      <c r="N97" s="261">
        <f t="shared" si="16"/>
        <v>1141.1399999999999</v>
      </c>
      <c r="O97" s="195"/>
      <c r="P97" s="191">
        <f>11.1</f>
        <v>11.1</v>
      </c>
      <c r="Q97" s="195"/>
      <c r="R97" s="191">
        <f t="shared" si="17"/>
        <v>11.1</v>
      </c>
      <c r="S97" s="195"/>
      <c r="T97" s="195"/>
      <c r="U97" s="195"/>
      <c r="V97" s="191">
        <f>5</f>
        <v>5</v>
      </c>
      <c r="W97" s="191">
        <f t="shared" si="18"/>
        <v>5</v>
      </c>
      <c r="X97" s="199">
        <f t="shared" si="19"/>
        <v>16.100000000000001</v>
      </c>
      <c r="Y97" s="203">
        <f t="shared" si="20"/>
        <v>1157.2399999999998</v>
      </c>
    </row>
    <row r="98" spans="1:25" x14ac:dyDescent="0.25">
      <c r="A98" s="194" t="s">
        <v>472</v>
      </c>
      <c r="B98" s="266"/>
      <c r="C98" s="266"/>
      <c r="D98" s="195"/>
      <c r="E98" s="267">
        <f>141.28</f>
        <v>141.28</v>
      </c>
      <c r="F98" s="195"/>
      <c r="G98" s="191">
        <f t="shared" si="14"/>
        <v>141.28</v>
      </c>
      <c r="H98" s="266"/>
      <c r="I98" s="195"/>
      <c r="J98" s="267">
        <f>56</f>
        <v>56</v>
      </c>
      <c r="K98" s="266"/>
      <c r="L98" s="267">
        <f>126.06</f>
        <v>126.06</v>
      </c>
      <c r="M98" s="191">
        <f t="shared" si="15"/>
        <v>182.06</v>
      </c>
      <c r="N98" s="261">
        <f t="shared" si="16"/>
        <v>323.34000000000003</v>
      </c>
      <c r="O98" s="195"/>
      <c r="P98" s="195"/>
      <c r="Q98" s="195"/>
      <c r="R98" s="191">
        <f t="shared" si="17"/>
        <v>0</v>
      </c>
      <c r="S98" s="195"/>
      <c r="T98" s="195"/>
      <c r="U98" s="195"/>
      <c r="V98" s="191">
        <f>210.64</f>
        <v>210.64</v>
      </c>
      <c r="W98" s="191">
        <f t="shared" si="18"/>
        <v>210.64</v>
      </c>
      <c r="X98" s="199">
        <f t="shared" si="19"/>
        <v>210.64</v>
      </c>
      <c r="Y98" s="203">
        <f t="shared" si="20"/>
        <v>533.98</v>
      </c>
    </row>
    <row r="99" spans="1:25" x14ac:dyDescent="0.25">
      <c r="A99" s="194" t="s">
        <v>595</v>
      </c>
      <c r="B99" s="266"/>
      <c r="C99" s="267">
        <f>1131.68</f>
        <v>1131.68</v>
      </c>
      <c r="D99" s="195"/>
      <c r="E99" s="267">
        <f>97.97</f>
        <v>97.97</v>
      </c>
      <c r="F99" s="195"/>
      <c r="G99" s="191">
        <f t="shared" si="14"/>
        <v>97.97</v>
      </c>
      <c r="H99" s="266"/>
      <c r="I99" s="191">
        <f>195.41</f>
        <v>195.41</v>
      </c>
      <c r="J99" s="266"/>
      <c r="K99" s="266"/>
      <c r="L99" s="266"/>
      <c r="M99" s="191">
        <f t="shared" si="15"/>
        <v>0</v>
      </c>
      <c r="N99" s="261">
        <f t="shared" si="16"/>
        <v>1425.0600000000002</v>
      </c>
      <c r="O99" s="195"/>
      <c r="P99" s="195"/>
      <c r="Q99" s="195"/>
      <c r="R99" s="191">
        <f t="shared" si="17"/>
        <v>0</v>
      </c>
      <c r="S99" s="195"/>
      <c r="T99" s="195"/>
      <c r="U99" s="195"/>
      <c r="V99" s="195"/>
      <c r="W99" s="191">
        <f t="shared" si="18"/>
        <v>0</v>
      </c>
      <c r="X99" s="199">
        <f t="shared" si="19"/>
        <v>0</v>
      </c>
      <c r="Y99" s="203">
        <f t="shared" si="20"/>
        <v>1425.0600000000002</v>
      </c>
    </row>
    <row r="100" spans="1:25" x14ac:dyDescent="0.25">
      <c r="A100" s="194" t="s">
        <v>473</v>
      </c>
      <c r="B100" s="268">
        <f>((B97)+(B98))+(B99)</f>
        <v>0</v>
      </c>
      <c r="C100" s="268">
        <f>((C97)+(C98))+(C99)</f>
        <v>1131.68</v>
      </c>
      <c r="D100" s="196">
        <f>((D97)+(D98))+(D99)</f>
        <v>0</v>
      </c>
      <c r="E100" s="268">
        <f>((E97)+(E98))+(E99)</f>
        <v>784.71</v>
      </c>
      <c r="F100" s="196">
        <f>((F97)+(F98))+(F99)</f>
        <v>0</v>
      </c>
      <c r="G100" s="196">
        <f t="shared" si="14"/>
        <v>784.71</v>
      </c>
      <c r="H100" s="268">
        <f>((H97)+(H98))+(H99)</f>
        <v>0</v>
      </c>
      <c r="I100" s="196">
        <f>((I97)+(I98))+(I99)</f>
        <v>195.41</v>
      </c>
      <c r="J100" s="268">
        <f>((J97)+(J98))+(J99)</f>
        <v>651.67999999999995</v>
      </c>
      <c r="K100" s="268">
        <f>((K97)+(K98))+(K99)</f>
        <v>0</v>
      </c>
      <c r="L100" s="268">
        <f>((L97)+(L98))+(L99)</f>
        <v>126.06</v>
      </c>
      <c r="M100" s="196">
        <f>((J100)+(K100))+(L100)</f>
        <v>777.74</v>
      </c>
      <c r="N100" s="262">
        <f>(((((B100)+(C100))+(G100))+(H100))+(I100))+(M100)</f>
        <v>2889.54</v>
      </c>
      <c r="O100" s="196">
        <f>((O97)+(O98))+(O99)</f>
        <v>0</v>
      </c>
      <c r="P100" s="196">
        <f>((P97)+(P98))+(P99)</f>
        <v>11.1</v>
      </c>
      <c r="Q100" s="196">
        <f>((Q97)+(Q98))+(Q99)</f>
        <v>0</v>
      </c>
      <c r="R100" s="196">
        <f t="shared" si="17"/>
        <v>11.1</v>
      </c>
      <c r="S100" s="196">
        <f>((S97)+(S98))+(S99)</f>
        <v>0</v>
      </c>
      <c r="T100" s="196">
        <f>((T97)+(T98))+(T99)</f>
        <v>0</v>
      </c>
      <c r="U100" s="196">
        <f>((U97)+(U98))+(U99)</f>
        <v>0</v>
      </c>
      <c r="V100" s="196">
        <f>((V97)+(V98))+(V99)</f>
        <v>215.64</v>
      </c>
      <c r="W100" s="196">
        <f t="shared" si="18"/>
        <v>215.64</v>
      </c>
      <c r="X100" s="200">
        <f t="shared" si="19"/>
        <v>226.73999999999998</v>
      </c>
      <c r="Y100" s="204">
        <f t="shared" si="20"/>
        <v>3116.2799999999997</v>
      </c>
    </row>
    <row r="101" spans="1:25" x14ac:dyDescent="0.25">
      <c r="A101" s="194" t="s">
        <v>95</v>
      </c>
      <c r="B101" s="266"/>
      <c r="C101" s="266"/>
      <c r="D101" s="195"/>
      <c r="E101" s="266"/>
      <c r="F101" s="195"/>
      <c r="G101" s="191">
        <f t="shared" si="14"/>
        <v>0</v>
      </c>
      <c r="H101" s="266"/>
      <c r="I101" s="195"/>
      <c r="J101" s="266"/>
      <c r="K101" s="266"/>
      <c r="L101" s="266"/>
      <c r="M101" s="191">
        <f t="shared" si="15"/>
        <v>0</v>
      </c>
      <c r="N101" s="261">
        <f t="shared" si="16"/>
        <v>0</v>
      </c>
      <c r="O101" s="195"/>
      <c r="P101" s="195"/>
      <c r="Q101" s="195"/>
      <c r="R101" s="191">
        <f t="shared" si="17"/>
        <v>0</v>
      </c>
      <c r="S101" s="195"/>
      <c r="T101" s="195"/>
      <c r="U101" s="195"/>
      <c r="V101" s="195"/>
      <c r="W101" s="191">
        <f t="shared" si="18"/>
        <v>0</v>
      </c>
      <c r="X101" s="199">
        <f t="shared" si="19"/>
        <v>0</v>
      </c>
      <c r="Y101" s="203">
        <f t="shared" si="20"/>
        <v>0</v>
      </c>
    </row>
    <row r="102" spans="1:25" x14ac:dyDescent="0.25">
      <c r="A102" s="194" t="s">
        <v>96</v>
      </c>
      <c r="B102" s="266"/>
      <c r="C102" s="266"/>
      <c r="D102" s="195"/>
      <c r="E102" s="266"/>
      <c r="F102" s="195"/>
      <c r="G102" s="191">
        <f t="shared" si="14"/>
        <v>0</v>
      </c>
      <c r="H102" s="266"/>
      <c r="I102" s="195"/>
      <c r="J102" s="266"/>
      <c r="K102" s="266"/>
      <c r="L102" s="266"/>
      <c r="M102" s="191">
        <f t="shared" si="15"/>
        <v>0</v>
      </c>
      <c r="N102" s="261">
        <f t="shared" si="16"/>
        <v>0</v>
      </c>
      <c r="O102" s="195"/>
      <c r="P102" s="191">
        <f>750</f>
        <v>750</v>
      </c>
      <c r="Q102" s="195"/>
      <c r="R102" s="191">
        <f t="shared" si="17"/>
        <v>750</v>
      </c>
      <c r="S102" s="195"/>
      <c r="T102" s="195"/>
      <c r="U102" s="195"/>
      <c r="V102" s="195"/>
      <c r="W102" s="191">
        <f t="shared" si="18"/>
        <v>0</v>
      </c>
      <c r="X102" s="199">
        <f t="shared" si="19"/>
        <v>750</v>
      </c>
      <c r="Y102" s="203">
        <f t="shared" si="20"/>
        <v>750</v>
      </c>
    </row>
    <row r="103" spans="1:25" x14ac:dyDescent="0.25">
      <c r="A103" s="194" t="s">
        <v>97</v>
      </c>
      <c r="B103" s="268">
        <f>(B101)+(B102)</f>
        <v>0</v>
      </c>
      <c r="C103" s="268">
        <f>(C101)+(C102)</f>
        <v>0</v>
      </c>
      <c r="D103" s="196">
        <f>(D101)+(D102)</f>
        <v>0</v>
      </c>
      <c r="E103" s="268">
        <f>(E101)+(E102)</f>
        <v>0</v>
      </c>
      <c r="F103" s="196">
        <f>(F101)+(F102)</f>
        <v>0</v>
      </c>
      <c r="G103" s="196">
        <f t="shared" si="14"/>
        <v>0</v>
      </c>
      <c r="H103" s="268">
        <f>(H101)+(H102)</f>
        <v>0</v>
      </c>
      <c r="I103" s="196">
        <f>(I101)+(I102)</f>
        <v>0</v>
      </c>
      <c r="J103" s="268">
        <f>(J101)+(J102)</f>
        <v>0</v>
      </c>
      <c r="K103" s="268">
        <f>(K101)+(K102)</f>
        <v>0</v>
      </c>
      <c r="L103" s="268">
        <f>(L101)+(L102)</f>
        <v>0</v>
      </c>
      <c r="M103" s="196">
        <f t="shared" si="15"/>
        <v>0</v>
      </c>
      <c r="N103" s="262">
        <f t="shared" si="16"/>
        <v>0</v>
      </c>
      <c r="O103" s="196">
        <f>(O101)+(O102)</f>
        <v>0</v>
      </c>
      <c r="P103" s="196">
        <f>(P101)+(P102)</f>
        <v>750</v>
      </c>
      <c r="Q103" s="196">
        <f>(Q101)+(Q102)</f>
        <v>0</v>
      </c>
      <c r="R103" s="196">
        <f t="shared" si="17"/>
        <v>750</v>
      </c>
      <c r="S103" s="196">
        <f>(S101)+(S102)</f>
        <v>0</v>
      </c>
      <c r="T103" s="196">
        <f>(T101)+(T102)</f>
        <v>0</v>
      </c>
      <c r="U103" s="196">
        <f>(U101)+(U102)</f>
        <v>0</v>
      </c>
      <c r="V103" s="196">
        <f>(V101)+(V102)</f>
        <v>0</v>
      </c>
      <c r="W103" s="196">
        <f t="shared" si="18"/>
        <v>0</v>
      </c>
      <c r="X103" s="200">
        <f t="shared" si="19"/>
        <v>750</v>
      </c>
      <c r="Y103" s="204">
        <f t="shared" si="20"/>
        <v>750</v>
      </c>
    </row>
    <row r="104" spans="1:25" s="74" customFormat="1" x14ac:dyDescent="0.25">
      <c r="A104" s="212" t="s">
        <v>98</v>
      </c>
      <c r="B104" s="270">
        <f>((((((((B37)+(B40))+(B45))+(B64))+(B69))+(B89))+(B96))+(B100))+(B103)</f>
        <v>0</v>
      </c>
      <c r="C104" s="270">
        <f>((((((((C37)+(C40))+(C45))+(C64))+(C69))+(C89))+(C96))+(C100))+(C103)</f>
        <v>1131.68</v>
      </c>
      <c r="D104" s="200">
        <f>((((((((D37)+(D40))+(D45))+(D64))+(D69))+(D89))+(D96))+(D100))+(D103)</f>
        <v>884.42000000000007</v>
      </c>
      <c r="E104" s="270">
        <f>((((((((E37)+(E40))+(E45))+(E64))+(E69))+(E89))+(E96))+(E100))+(E103)</f>
        <v>1693.7200000000003</v>
      </c>
      <c r="F104" s="200">
        <f>((((((((F37)+(F40))+(F45))+(F64))+(F69))+(F89))+(F96))+(F100))+(F103)</f>
        <v>38.380000000000003</v>
      </c>
      <c r="G104" s="200">
        <f t="shared" si="14"/>
        <v>2616.5200000000004</v>
      </c>
      <c r="H104" s="270">
        <f>((((((((H37)+(H40))+(H45))+(H64))+(H69))+(H89))+(H96))+(H100))+(H103)</f>
        <v>2219.61</v>
      </c>
      <c r="I104" s="200">
        <f>((((((((I37)+(I40))+(I45))+(I64))+(I69))+(I89))+(I96))+(I100))+(I103)</f>
        <v>354.75</v>
      </c>
      <c r="J104" s="270">
        <f>((((((((J37)+(J40))+(J45))+(J64))+(J69))+(J89))+(J96))+(J100))+(J103)</f>
        <v>7612.0800000000008</v>
      </c>
      <c r="K104" s="270">
        <f>((((((((K37)+(K40))+(K45))+(K64))+(K69))+(K89))+(K96))+(K100))+(K103)</f>
        <v>1080.1500000000001</v>
      </c>
      <c r="L104" s="270">
        <f>((((((((L37)+(L40))+(L45))+(L64))+(L69))+(L89))+(L96))+(L100))+(L103)</f>
        <v>8494.2999999999993</v>
      </c>
      <c r="M104" s="200">
        <f t="shared" si="15"/>
        <v>17186.53</v>
      </c>
      <c r="N104" s="262">
        <f t="shared" si="16"/>
        <v>23509.09</v>
      </c>
      <c r="O104" s="200">
        <f>((((((((O37)+(O40))+(O45))+(O64))+(O69))+(O89))+(O96))+(O100))+(O103)</f>
        <v>0</v>
      </c>
      <c r="P104" s="200">
        <f>((((((((P37)+(P40))+(P45))+(P64))+(P69))+(P89))+(P96))+(P100))+(P103)</f>
        <v>86894.260000000009</v>
      </c>
      <c r="Q104" s="200">
        <f>((((((((Q37)+(Q40))+(Q45))+(Q64))+(Q69))+(Q89))+(Q96))+(Q100))+(Q103)</f>
        <v>111.91999999999999</v>
      </c>
      <c r="R104" s="200">
        <f t="shared" si="17"/>
        <v>87006.180000000008</v>
      </c>
      <c r="S104" s="200">
        <f>((((((((S37)+(S40))+(S45))+(S64))+(S69))+(S89))+(S96))+(S100))+(S103)</f>
        <v>9935.57</v>
      </c>
      <c r="T104" s="200">
        <f>((((((((T37)+(T40))+(T45))+(T64))+(T69))+(T89))+(T96))+(T100))+(T103)</f>
        <v>369.39</v>
      </c>
      <c r="U104" s="200">
        <f>((((((((U37)+(U40))+(U45))+(U64))+(U69))+(U89))+(U96))+(U100))+(U103)</f>
        <v>12631.9</v>
      </c>
      <c r="V104" s="200">
        <f>((((((((V37)+(V40))+(V45))+(V64))+(V69))+(V89))+(V96))+(V100))+(V103)</f>
        <v>412.69</v>
      </c>
      <c r="W104" s="200">
        <f t="shared" si="18"/>
        <v>23349.55</v>
      </c>
      <c r="X104" s="200">
        <f t="shared" si="19"/>
        <v>110355.73000000001</v>
      </c>
      <c r="Y104" s="213">
        <f t="shared" si="20"/>
        <v>133864.82</v>
      </c>
    </row>
    <row r="105" spans="1:25" x14ac:dyDescent="0.25">
      <c r="A105" s="194" t="s">
        <v>99</v>
      </c>
      <c r="B105" s="268">
        <f>(B28)-(B104)</f>
        <v>0</v>
      </c>
      <c r="C105" s="268">
        <f>(C28)-(C104)</f>
        <v>-36.8900000000001</v>
      </c>
      <c r="D105" s="196">
        <f>(D28)-(D104)</f>
        <v>-484.42000000000007</v>
      </c>
      <c r="E105" s="268">
        <f>(E28)-(E104)</f>
        <v>1873.0899999999997</v>
      </c>
      <c r="F105" s="196">
        <f>(F28)-(F104)</f>
        <v>-19.190000000000001</v>
      </c>
      <c r="G105" s="196">
        <f t="shared" si="14"/>
        <v>1369.4799999999996</v>
      </c>
      <c r="H105" s="268">
        <f>(H28)-(H104)</f>
        <v>-106.80999999999995</v>
      </c>
      <c r="I105" s="196">
        <f>(I28)-(I104)</f>
        <v>1267.19</v>
      </c>
      <c r="J105" s="268">
        <f>(J28)-(J104)</f>
        <v>763.75999999999931</v>
      </c>
      <c r="K105" s="268">
        <f>(K28)-(K104)</f>
        <v>-798.25000000000011</v>
      </c>
      <c r="L105" s="268">
        <f>(L28)-(L104)</f>
        <v>-5657.41</v>
      </c>
      <c r="M105" s="196">
        <f t="shared" si="15"/>
        <v>-5691.9000000000005</v>
      </c>
      <c r="N105" s="262">
        <f t="shared" si="16"/>
        <v>-3198.9300000000012</v>
      </c>
      <c r="O105" s="196">
        <f>(O28)-(O104)</f>
        <v>0</v>
      </c>
      <c r="P105" s="196">
        <f>(P28)-(P104)</f>
        <v>-5577.1700000000128</v>
      </c>
      <c r="Q105" s="196">
        <f>(Q28)-(Q104)</f>
        <v>542.53000000000009</v>
      </c>
      <c r="R105" s="196">
        <f t="shared" si="17"/>
        <v>-5034.6400000000131</v>
      </c>
      <c r="S105" s="196">
        <f>(S28)-(S104)</f>
        <v>642.13000000000102</v>
      </c>
      <c r="T105" s="196">
        <f>(T28)-(T104)</f>
        <v>-290.18</v>
      </c>
      <c r="U105" s="196">
        <f>(U28)-(U104)</f>
        <v>-12631.9</v>
      </c>
      <c r="V105" s="196">
        <f>(V28)-(V104)</f>
        <v>756.21</v>
      </c>
      <c r="W105" s="196">
        <f t="shared" si="18"/>
        <v>-11523.739999999998</v>
      </c>
      <c r="X105" s="200">
        <f t="shared" si="19"/>
        <v>-16558.380000000012</v>
      </c>
      <c r="Y105" s="204">
        <f t="shared" si="20"/>
        <v>-19757.310000000012</v>
      </c>
    </row>
    <row r="106" spans="1:25" x14ac:dyDescent="0.25">
      <c r="A106" s="194" t="s">
        <v>100</v>
      </c>
      <c r="B106" s="266"/>
      <c r="C106" s="266"/>
      <c r="D106" s="195"/>
      <c r="E106" s="266"/>
      <c r="F106" s="195"/>
      <c r="G106" s="195"/>
      <c r="H106" s="266"/>
      <c r="I106" s="195"/>
      <c r="J106" s="266"/>
      <c r="K106" s="266"/>
      <c r="L106" s="266"/>
      <c r="M106" s="195"/>
      <c r="N106" s="260"/>
      <c r="O106" s="195"/>
      <c r="P106" s="195"/>
      <c r="Q106" s="195"/>
      <c r="R106" s="195"/>
      <c r="S106" s="195"/>
      <c r="T106" s="195"/>
      <c r="U106" s="195"/>
      <c r="V106" s="195"/>
      <c r="W106" s="195"/>
      <c r="X106" s="198"/>
      <c r="Y106" s="202"/>
    </row>
    <row r="107" spans="1:25" x14ac:dyDescent="0.25">
      <c r="A107" s="194" t="s">
        <v>101</v>
      </c>
      <c r="B107" s="266"/>
      <c r="C107" s="266"/>
      <c r="D107" s="195"/>
      <c r="E107" s="266"/>
      <c r="F107" s="195"/>
      <c r="G107" s="191">
        <f>((D107)+(E107))+(F107)</f>
        <v>0</v>
      </c>
      <c r="H107" s="266"/>
      <c r="I107" s="195"/>
      <c r="J107" s="266"/>
      <c r="K107" s="266"/>
      <c r="L107" s="266"/>
      <c r="M107" s="191">
        <f>((J107)+(K107))+(L107)</f>
        <v>0</v>
      </c>
      <c r="N107" s="261">
        <f>(((((B107)+(C107))+(G107))+(H107))+(I107))+(M107)</f>
        <v>0</v>
      </c>
      <c r="O107" s="195"/>
      <c r="P107" s="191">
        <f>459.35</f>
        <v>459.35</v>
      </c>
      <c r="Q107" s="195"/>
      <c r="R107" s="191">
        <f>(P107)+(Q107)</f>
        <v>459.35</v>
      </c>
      <c r="S107" s="195"/>
      <c r="T107" s="195"/>
      <c r="U107" s="195"/>
      <c r="V107" s="195"/>
      <c r="W107" s="191">
        <f>(((S107)+(T107))+(U107))+(V107)</f>
        <v>0</v>
      </c>
      <c r="X107" s="199">
        <f>((O107)+(R107))+(W107)</f>
        <v>459.35</v>
      </c>
      <c r="Y107" s="203">
        <f>(N107)+(X107)</f>
        <v>459.35</v>
      </c>
    </row>
    <row r="108" spans="1:25" x14ac:dyDescent="0.25">
      <c r="A108" s="194" t="s">
        <v>102</v>
      </c>
      <c r="B108" s="268">
        <f>B107</f>
        <v>0</v>
      </c>
      <c r="C108" s="268">
        <f>C107</f>
        <v>0</v>
      </c>
      <c r="D108" s="196">
        <f>D107</f>
        <v>0</v>
      </c>
      <c r="E108" s="268">
        <f>E107</f>
        <v>0</v>
      </c>
      <c r="F108" s="196">
        <f>F107</f>
        <v>0</v>
      </c>
      <c r="G108" s="196">
        <f>((D108)+(E108))+(F108)</f>
        <v>0</v>
      </c>
      <c r="H108" s="268">
        <f>H107</f>
        <v>0</v>
      </c>
      <c r="I108" s="196">
        <f>I107</f>
        <v>0</v>
      </c>
      <c r="J108" s="268">
        <f>J107</f>
        <v>0</v>
      </c>
      <c r="K108" s="268">
        <f>K107</f>
        <v>0</v>
      </c>
      <c r="L108" s="268">
        <f>L107</f>
        <v>0</v>
      </c>
      <c r="M108" s="196">
        <f>((J108)+(K108))+(L108)</f>
        <v>0</v>
      </c>
      <c r="N108" s="262">
        <f>(((((B108)+(C108))+(G108))+(H108))+(I108))+(M108)</f>
        <v>0</v>
      </c>
      <c r="O108" s="196">
        <f>O107</f>
        <v>0</v>
      </c>
      <c r="P108" s="196">
        <f>P107</f>
        <v>459.35</v>
      </c>
      <c r="Q108" s="196">
        <f>Q107</f>
        <v>0</v>
      </c>
      <c r="R108" s="196">
        <f>(P108)+(Q108)</f>
        <v>459.35</v>
      </c>
      <c r="S108" s="196">
        <f>S107</f>
        <v>0</v>
      </c>
      <c r="T108" s="196">
        <f>T107</f>
        <v>0</v>
      </c>
      <c r="U108" s="196">
        <f>U107</f>
        <v>0</v>
      </c>
      <c r="V108" s="196">
        <f>V107</f>
        <v>0</v>
      </c>
      <c r="W108" s="196">
        <f>(((S108)+(T108))+(U108))+(V108)</f>
        <v>0</v>
      </c>
      <c r="X108" s="200">
        <f>((O108)+(R108))+(W108)</f>
        <v>459.35</v>
      </c>
      <c r="Y108" s="204">
        <f>(N108)+(X108)</f>
        <v>459.35</v>
      </c>
    </row>
    <row r="109" spans="1:25" x14ac:dyDescent="0.25">
      <c r="A109" s="194" t="s">
        <v>369</v>
      </c>
      <c r="B109" s="266"/>
      <c r="C109" s="266"/>
      <c r="D109" s="195"/>
      <c r="E109" s="266"/>
      <c r="F109" s="195"/>
      <c r="G109" s="195"/>
      <c r="H109" s="266"/>
      <c r="I109" s="195"/>
      <c r="J109" s="266"/>
      <c r="K109" s="266"/>
      <c r="L109" s="266"/>
      <c r="M109" s="195"/>
      <c r="N109" s="260"/>
      <c r="O109" s="195"/>
      <c r="P109" s="195"/>
      <c r="Q109" s="195"/>
      <c r="R109" s="195"/>
      <c r="S109" s="195"/>
      <c r="T109" s="195"/>
      <c r="U109" s="195"/>
      <c r="V109" s="195"/>
      <c r="W109" s="195"/>
      <c r="X109" s="198"/>
      <c r="Y109" s="202"/>
    </row>
    <row r="110" spans="1:25" x14ac:dyDescent="0.25">
      <c r="A110" s="194" t="s">
        <v>370</v>
      </c>
      <c r="B110" s="266"/>
      <c r="C110" s="266"/>
      <c r="D110" s="191">
        <f>-1500</f>
        <v>-1500</v>
      </c>
      <c r="E110" s="266"/>
      <c r="F110" s="195"/>
      <c r="G110" s="191">
        <f t="shared" ref="G110:G118" si="21">((D110)+(E110))+(F110)</f>
        <v>-1500</v>
      </c>
      <c r="H110" s="266"/>
      <c r="I110" s="195"/>
      <c r="J110" s="267">
        <f>1500</f>
        <v>1500</v>
      </c>
      <c r="K110" s="266"/>
      <c r="L110" s="266"/>
      <c r="M110" s="191">
        <f t="shared" ref="M110:M118" si="22">((J110)+(K110))+(L110)</f>
        <v>1500</v>
      </c>
      <c r="N110" s="261">
        <f t="shared" ref="N110:N118" si="23">(((((B110)+(C110))+(G110))+(H110))+(I110))+(M110)</f>
        <v>0</v>
      </c>
      <c r="O110" s="195"/>
      <c r="P110" s="195"/>
      <c r="Q110" s="195"/>
      <c r="R110" s="191">
        <f t="shared" ref="R110:R118" si="24">(P110)+(Q110)</f>
        <v>0</v>
      </c>
      <c r="S110" s="195"/>
      <c r="T110" s="195"/>
      <c r="U110" s="195"/>
      <c r="V110" s="195"/>
      <c r="W110" s="191">
        <f t="shared" ref="W110:W118" si="25">(((S110)+(T110))+(U110))+(V110)</f>
        <v>0</v>
      </c>
      <c r="X110" s="199">
        <f t="shared" ref="X110:X118" si="26">((O110)+(R110))+(W110)</f>
        <v>0</v>
      </c>
      <c r="Y110" s="203">
        <f t="shared" ref="Y110:Y118" si="27">(N110)+(X110)</f>
        <v>0</v>
      </c>
    </row>
    <row r="111" spans="1:25" x14ac:dyDescent="0.25">
      <c r="A111" s="194" t="s">
        <v>371</v>
      </c>
      <c r="B111" s="266"/>
      <c r="C111" s="266"/>
      <c r="D111" s="195"/>
      <c r="E111" s="266"/>
      <c r="F111" s="195"/>
      <c r="G111" s="191">
        <f t="shared" si="21"/>
        <v>0</v>
      </c>
      <c r="H111" s="266"/>
      <c r="I111" s="195"/>
      <c r="J111" s="266"/>
      <c r="K111" s="266"/>
      <c r="L111" s="266"/>
      <c r="M111" s="191">
        <f t="shared" si="22"/>
        <v>0</v>
      </c>
      <c r="N111" s="261">
        <f t="shared" si="23"/>
        <v>0</v>
      </c>
      <c r="O111" s="195"/>
      <c r="P111" s="195"/>
      <c r="Q111" s="195"/>
      <c r="R111" s="191">
        <f t="shared" si="24"/>
        <v>0</v>
      </c>
      <c r="S111" s="195"/>
      <c r="T111" s="195"/>
      <c r="U111" s="195"/>
      <c r="V111" s="195"/>
      <c r="W111" s="191">
        <f t="shared" si="25"/>
        <v>0</v>
      </c>
      <c r="X111" s="199">
        <f t="shared" si="26"/>
        <v>0</v>
      </c>
      <c r="Y111" s="203">
        <f t="shared" si="27"/>
        <v>0</v>
      </c>
    </row>
    <row r="112" spans="1:25" x14ac:dyDescent="0.25">
      <c r="A112" s="194" t="s">
        <v>372</v>
      </c>
      <c r="B112" s="266"/>
      <c r="C112" s="266"/>
      <c r="D112" s="191">
        <f>825.71</f>
        <v>825.71</v>
      </c>
      <c r="E112" s="266"/>
      <c r="F112" s="195"/>
      <c r="G112" s="191">
        <f t="shared" si="21"/>
        <v>825.71</v>
      </c>
      <c r="H112" s="266"/>
      <c r="I112" s="195"/>
      <c r="J112" s="266"/>
      <c r="K112" s="266"/>
      <c r="L112" s="266"/>
      <c r="M112" s="191">
        <f t="shared" si="22"/>
        <v>0</v>
      </c>
      <c r="N112" s="261">
        <f t="shared" si="23"/>
        <v>825.71</v>
      </c>
      <c r="O112" s="195"/>
      <c r="P112" s="195"/>
      <c r="Q112" s="195"/>
      <c r="R112" s="191">
        <f t="shared" si="24"/>
        <v>0</v>
      </c>
      <c r="S112" s="195"/>
      <c r="T112" s="195"/>
      <c r="U112" s="195"/>
      <c r="V112" s="195"/>
      <c r="W112" s="191">
        <f t="shared" si="25"/>
        <v>0</v>
      </c>
      <c r="X112" s="199">
        <f t="shared" si="26"/>
        <v>0</v>
      </c>
      <c r="Y112" s="203">
        <f t="shared" si="27"/>
        <v>825.71</v>
      </c>
    </row>
    <row r="113" spans="1:25" x14ac:dyDescent="0.25">
      <c r="A113" s="194" t="s">
        <v>373</v>
      </c>
      <c r="B113" s="266"/>
      <c r="C113" s="266"/>
      <c r="D113" s="195"/>
      <c r="E113" s="266"/>
      <c r="F113" s="195"/>
      <c r="G113" s="191">
        <f t="shared" si="21"/>
        <v>0</v>
      </c>
      <c r="H113" s="266"/>
      <c r="I113" s="195"/>
      <c r="J113" s="266"/>
      <c r="K113" s="266"/>
      <c r="L113" s="266"/>
      <c r="M113" s="191">
        <f t="shared" si="22"/>
        <v>0</v>
      </c>
      <c r="N113" s="261">
        <f t="shared" si="23"/>
        <v>0</v>
      </c>
      <c r="O113" s="195"/>
      <c r="P113" s="191">
        <f>1280.24</f>
        <v>1280.24</v>
      </c>
      <c r="Q113" s="195"/>
      <c r="R113" s="191">
        <f t="shared" si="24"/>
        <v>1280.24</v>
      </c>
      <c r="S113" s="195"/>
      <c r="T113" s="195"/>
      <c r="U113" s="195"/>
      <c r="V113" s="195"/>
      <c r="W113" s="191">
        <f t="shared" si="25"/>
        <v>0</v>
      </c>
      <c r="X113" s="199">
        <f t="shared" si="26"/>
        <v>1280.24</v>
      </c>
      <c r="Y113" s="203">
        <f t="shared" si="27"/>
        <v>1280.24</v>
      </c>
    </row>
    <row r="114" spans="1:25" x14ac:dyDescent="0.25">
      <c r="A114" s="194" t="s">
        <v>374</v>
      </c>
      <c r="B114" s="268">
        <f>((B111)+(B112))+(B113)</f>
        <v>0</v>
      </c>
      <c r="C114" s="268">
        <f>((C111)+(C112))+(C113)</f>
        <v>0</v>
      </c>
      <c r="D114" s="196">
        <f>((D111)+(D112))+(D113)</f>
        <v>825.71</v>
      </c>
      <c r="E114" s="268">
        <f>((E111)+(E112))+(E113)</f>
        <v>0</v>
      </c>
      <c r="F114" s="196">
        <f>((F111)+(F112))+(F113)</f>
        <v>0</v>
      </c>
      <c r="G114" s="196">
        <f t="shared" si="21"/>
        <v>825.71</v>
      </c>
      <c r="H114" s="268">
        <f>((H111)+(H112))+(H113)</f>
        <v>0</v>
      </c>
      <c r="I114" s="196">
        <f>((I111)+(I112))+(I113)</f>
        <v>0</v>
      </c>
      <c r="J114" s="268">
        <f>((J111)+(J112))+(J113)</f>
        <v>0</v>
      </c>
      <c r="K114" s="268">
        <f>((K111)+(K112))+(K113)</f>
        <v>0</v>
      </c>
      <c r="L114" s="268">
        <f>((L111)+(L112))+(L113)</f>
        <v>0</v>
      </c>
      <c r="M114" s="196">
        <f t="shared" si="22"/>
        <v>0</v>
      </c>
      <c r="N114" s="262">
        <f t="shared" si="23"/>
        <v>825.71</v>
      </c>
      <c r="O114" s="196">
        <f>((O111)+(O112))+(O113)</f>
        <v>0</v>
      </c>
      <c r="P114" s="196">
        <f>((P111)+(P112))+(P113)</f>
        <v>1280.24</v>
      </c>
      <c r="Q114" s="196">
        <f>((Q111)+(Q112))+(Q113)</f>
        <v>0</v>
      </c>
      <c r="R114" s="196">
        <f t="shared" si="24"/>
        <v>1280.24</v>
      </c>
      <c r="S114" s="196">
        <f>((S111)+(S112))+(S113)</f>
        <v>0</v>
      </c>
      <c r="T114" s="196">
        <f>((T111)+(T112))+(T113)</f>
        <v>0</v>
      </c>
      <c r="U114" s="196">
        <f>((U111)+(U112))+(U113)</f>
        <v>0</v>
      </c>
      <c r="V114" s="196">
        <f>((V111)+(V112))+(V113)</f>
        <v>0</v>
      </c>
      <c r="W114" s="196">
        <f t="shared" si="25"/>
        <v>0</v>
      </c>
      <c r="X114" s="200">
        <f t="shared" si="26"/>
        <v>1280.24</v>
      </c>
      <c r="Y114" s="204">
        <f t="shared" si="27"/>
        <v>2105.9499999999998</v>
      </c>
    </row>
    <row r="115" spans="1:25" x14ac:dyDescent="0.25">
      <c r="A115" s="2" t="s">
        <v>596</v>
      </c>
      <c r="B115" s="266"/>
      <c r="C115" s="266"/>
      <c r="D115" s="195"/>
      <c r="E115" s="266"/>
      <c r="F115" s="195"/>
      <c r="G115" s="191">
        <f t="shared" si="21"/>
        <v>0</v>
      </c>
      <c r="H115" s="266"/>
      <c r="I115" s="195"/>
      <c r="J115" s="266"/>
      <c r="K115" s="266"/>
      <c r="L115" s="266"/>
      <c r="M115" s="191">
        <f t="shared" si="22"/>
        <v>0</v>
      </c>
      <c r="N115" s="261">
        <f t="shared" si="23"/>
        <v>0</v>
      </c>
      <c r="O115" s="195"/>
      <c r="P115" s="191">
        <f>375</f>
        <v>375</v>
      </c>
      <c r="Q115" s="195"/>
      <c r="R115" s="191">
        <f t="shared" si="24"/>
        <v>375</v>
      </c>
      <c r="S115" s="195"/>
      <c r="T115" s="195"/>
      <c r="U115" s="195"/>
      <c r="V115" s="195"/>
      <c r="W115" s="191">
        <f t="shared" si="25"/>
        <v>0</v>
      </c>
      <c r="X115" s="199">
        <f t="shared" si="26"/>
        <v>375</v>
      </c>
      <c r="Y115" s="203">
        <f t="shared" si="27"/>
        <v>375</v>
      </c>
    </row>
    <row r="116" spans="1:25" x14ac:dyDescent="0.25">
      <c r="A116" s="194" t="s">
        <v>375</v>
      </c>
      <c r="B116" s="268">
        <f>((B110)+(B114))+(B115)</f>
        <v>0</v>
      </c>
      <c r="C116" s="268">
        <f>((C110)+(C114))+(C115)</f>
        <v>0</v>
      </c>
      <c r="D116" s="196">
        <f>((D110)+(D114))+(D115)</f>
        <v>-674.29</v>
      </c>
      <c r="E116" s="268">
        <f>((E110)+(E114))+(E115)</f>
        <v>0</v>
      </c>
      <c r="F116" s="196">
        <f>((F110)+(F114))+(F115)</f>
        <v>0</v>
      </c>
      <c r="G116" s="196">
        <f t="shared" si="21"/>
        <v>-674.29</v>
      </c>
      <c r="H116" s="268">
        <f>((H110)+(H114))+(H115)</f>
        <v>0</v>
      </c>
      <c r="I116" s="196">
        <f>((I110)+(I114))+(I115)</f>
        <v>0</v>
      </c>
      <c r="J116" s="268">
        <f>((J110)+(J114))+(J115)</f>
        <v>1500</v>
      </c>
      <c r="K116" s="268">
        <f>((K110)+(K114))+(K115)</f>
        <v>0</v>
      </c>
      <c r="L116" s="268">
        <f>((L110)+(L114))+(L115)</f>
        <v>0</v>
      </c>
      <c r="M116" s="196">
        <f t="shared" si="22"/>
        <v>1500</v>
      </c>
      <c r="N116" s="262">
        <f t="shared" si="23"/>
        <v>825.71</v>
      </c>
      <c r="O116" s="196">
        <f>((O110)+(O114))+(O115)</f>
        <v>0</v>
      </c>
      <c r="P116" s="196">
        <f>((P110)+(P114))+(P115)</f>
        <v>1655.24</v>
      </c>
      <c r="Q116" s="196">
        <f>((Q110)+(Q114))+(Q115)</f>
        <v>0</v>
      </c>
      <c r="R116" s="196">
        <f t="shared" si="24"/>
        <v>1655.24</v>
      </c>
      <c r="S116" s="196">
        <f>((S110)+(S114))+(S115)</f>
        <v>0</v>
      </c>
      <c r="T116" s="196">
        <f>((T110)+(T114))+(T115)</f>
        <v>0</v>
      </c>
      <c r="U116" s="196">
        <f>((U110)+(U114))+(U115)</f>
        <v>0</v>
      </c>
      <c r="V116" s="196">
        <f>((V110)+(V114))+(V115)</f>
        <v>0</v>
      </c>
      <c r="W116" s="196">
        <f t="shared" si="25"/>
        <v>0</v>
      </c>
      <c r="X116" s="200">
        <f t="shared" si="26"/>
        <v>1655.24</v>
      </c>
      <c r="Y116" s="204">
        <f t="shared" si="27"/>
        <v>2480.9499999999998</v>
      </c>
    </row>
    <row r="117" spans="1:25" x14ac:dyDescent="0.25">
      <c r="A117" s="194" t="s">
        <v>103</v>
      </c>
      <c r="B117" s="268">
        <f>(B108)-(B116)</f>
        <v>0</v>
      </c>
      <c r="C117" s="268">
        <f>(C108)-(C116)</f>
        <v>0</v>
      </c>
      <c r="D117" s="196">
        <f>(D108)-(D116)</f>
        <v>674.29</v>
      </c>
      <c r="E117" s="268">
        <f>(E108)-(E116)</f>
        <v>0</v>
      </c>
      <c r="F117" s="196">
        <f>(F108)-(F116)</f>
        <v>0</v>
      </c>
      <c r="G117" s="196">
        <f t="shared" si="21"/>
        <v>674.29</v>
      </c>
      <c r="H117" s="268">
        <f>(H108)-(H116)</f>
        <v>0</v>
      </c>
      <c r="I117" s="196">
        <f>(I108)-(I116)</f>
        <v>0</v>
      </c>
      <c r="J117" s="268">
        <f>(J108)-(J116)</f>
        <v>-1500</v>
      </c>
      <c r="K117" s="268">
        <f>(K108)-(K116)</f>
        <v>0</v>
      </c>
      <c r="L117" s="268">
        <f>(L108)-(L116)</f>
        <v>0</v>
      </c>
      <c r="M117" s="196">
        <f t="shared" si="22"/>
        <v>-1500</v>
      </c>
      <c r="N117" s="262">
        <f t="shared" si="23"/>
        <v>-825.71</v>
      </c>
      <c r="O117" s="196">
        <f>(O108)-(O116)</f>
        <v>0</v>
      </c>
      <c r="P117" s="196">
        <f>(P108)-(P116)</f>
        <v>-1195.8899999999999</v>
      </c>
      <c r="Q117" s="196">
        <f>(Q108)-(Q116)</f>
        <v>0</v>
      </c>
      <c r="R117" s="196">
        <f t="shared" si="24"/>
        <v>-1195.8899999999999</v>
      </c>
      <c r="S117" s="196">
        <f>(S108)-(S116)</f>
        <v>0</v>
      </c>
      <c r="T117" s="196">
        <f>(T108)-(T116)</f>
        <v>0</v>
      </c>
      <c r="U117" s="196">
        <f>(U108)-(U116)</f>
        <v>0</v>
      </c>
      <c r="V117" s="196">
        <f>(V108)-(V116)</f>
        <v>0</v>
      </c>
      <c r="W117" s="196">
        <f t="shared" si="25"/>
        <v>0</v>
      </c>
      <c r="X117" s="200">
        <f t="shared" si="26"/>
        <v>-1195.8899999999999</v>
      </c>
      <c r="Y117" s="204">
        <f t="shared" si="27"/>
        <v>-2021.6</v>
      </c>
    </row>
    <row r="118" spans="1:25" x14ac:dyDescent="0.25">
      <c r="A118" s="194" t="s">
        <v>104</v>
      </c>
      <c r="B118" s="268">
        <f>(B105)+(B117)</f>
        <v>0</v>
      </c>
      <c r="C118" s="268">
        <f>(C105)+(C117)</f>
        <v>-36.8900000000001</v>
      </c>
      <c r="D118" s="196">
        <f>(D105)+(D117)</f>
        <v>189.86999999999989</v>
      </c>
      <c r="E118" s="268">
        <f>(E105)+(E117)</f>
        <v>1873.0899999999997</v>
      </c>
      <c r="F118" s="196">
        <f>(F105)+(F117)</f>
        <v>-19.190000000000001</v>
      </c>
      <c r="G118" s="196">
        <f t="shared" si="21"/>
        <v>2043.7699999999995</v>
      </c>
      <c r="H118" s="268">
        <f>(H105)+(H117)</f>
        <v>-106.80999999999995</v>
      </c>
      <c r="I118" s="196">
        <f>(I105)+(I117)</f>
        <v>1267.19</v>
      </c>
      <c r="J118" s="268">
        <f>(J105)+(J117)</f>
        <v>-736.24000000000069</v>
      </c>
      <c r="K118" s="268">
        <f>(K105)+(K117)</f>
        <v>-798.25000000000011</v>
      </c>
      <c r="L118" s="268">
        <f>(L105)+(L117)</f>
        <v>-5657.41</v>
      </c>
      <c r="M118" s="196">
        <f t="shared" si="22"/>
        <v>-7191.9000000000005</v>
      </c>
      <c r="N118" s="262">
        <f t="shared" si="23"/>
        <v>-4024.6400000000012</v>
      </c>
      <c r="O118" s="196">
        <f>(O105)+(O117)</f>
        <v>0</v>
      </c>
      <c r="P118" s="196">
        <f>(P105)+(P117)</f>
        <v>-6773.0600000000122</v>
      </c>
      <c r="Q118" s="196">
        <f>(Q105)+(Q117)</f>
        <v>542.53000000000009</v>
      </c>
      <c r="R118" s="196">
        <f t="shared" si="24"/>
        <v>-6230.5300000000125</v>
      </c>
      <c r="S118" s="196">
        <f>(S105)+(S117)</f>
        <v>642.13000000000102</v>
      </c>
      <c r="T118" s="196">
        <f>(T105)+(T117)</f>
        <v>-290.18</v>
      </c>
      <c r="U118" s="196">
        <f>(U105)+(U117)</f>
        <v>-12631.9</v>
      </c>
      <c r="V118" s="196">
        <f>(V105)+(V117)</f>
        <v>756.21</v>
      </c>
      <c r="W118" s="196">
        <f t="shared" si="25"/>
        <v>-11523.739999999998</v>
      </c>
      <c r="X118" s="200">
        <f t="shared" si="26"/>
        <v>-17754.270000000011</v>
      </c>
      <c r="Y118" s="204">
        <f t="shared" si="27"/>
        <v>-21778.910000000011</v>
      </c>
    </row>
    <row r="119" spans="1:25" x14ac:dyDescent="0.25">
      <c r="A119" s="194"/>
      <c r="B119" s="266"/>
      <c r="C119" s="266"/>
      <c r="D119" s="195"/>
      <c r="E119" s="266"/>
      <c r="F119" s="195"/>
      <c r="G119" s="195"/>
      <c r="H119" s="266"/>
      <c r="I119" s="195"/>
      <c r="J119" s="266"/>
      <c r="K119" s="266"/>
      <c r="L119" s="266"/>
      <c r="M119" s="195"/>
      <c r="N119" s="260"/>
      <c r="O119" s="195"/>
      <c r="P119" s="195"/>
      <c r="Q119" s="195"/>
      <c r="R119" s="195"/>
      <c r="S119" s="195"/>
      <c r="T119" s="195"/>
      <c r="U119" s="195"/>
      <c r="V119" s="195"/>
      <c r="W119" s="195"/>
      <c r="X119" s="198"/>
      <c r="Y119" s="202"/>
    </row>
    <row r="122" spans="1:25" x14ac:dyDescent="0.25">
      <c r="A122" s="283" t="s">
        <v>597</v>
      </c>
      <c r="B122" s="283"/>
      <c r="C122" s="283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</row>
  </sheetData>
  <sheetProtection selectLockedCells="1" selectUnlockedCells="1"/>
  <mergeCells count="4">
    <mergeCell ref="A122:Y122"/>
    <mergeCell ref="A1:Y1"/>
    <mergeCell ref="A2:Y2"/>
    <mergeCell ref="A3:Y3"/>
  </mergeCells>
  <pageMargins left="0.25" right="0.25" top="0.75" bottom="0.75" header="0.3" footer="0.3"/>
  <pageSetup paperSize="8" scale="38" firstPageNumber="0" orientation="landscape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B60"/>
  <sheetViews>
    <sheetView topLeftCell="A25" workbookViewId="0">
      <selection activeCell="F45" sqref="F45"/>
    </sheetView>
  </sheetViews>
  <sheetFormatPr defaultColWidth="9.140625" defaultRowHeight="18.75" customHeight="1" x14ac:dyDescent="0.25"/>
  <cols>
    <col min="1" max="1" width="45.5703125" customWidth="1"/>
    <col min="2" max="2" width="17.140625" customWidth="1"/>
  </cols>
  <sheetData>
    <row r="1" spans="1:2" ht="18.75" customHeight="1" x14ac:dyDescent="0.25">
      <c r="A1" s="286" t="s">
        <v>0</v>
      </c>
      <c r="B1" s="280"/>
    </row>
    <row r="2" spans="1:2" ht="18.75" customHeight="1" x14ac:dyDescent="0.25">
      <c r="A2" s="286" t="s">
        <v>203</v>
      </c>
      <c r="B2" s="280"/>
    </row>
    <row r="3" spans="1:2" ht="18.75" customHeight="1" x14ac:dyDescent="0.25">
      <c r="A3" s="281" t="s">
        <v>572</v>
      </c>
      <c r="B3" s="280"/>
    </row>
    <row r="5" spans="1:2" ht="18.75" customHeight="1" x14ac:dyDescent="0.25">
      <c r="A5" s="1"/>
      <c r="B5" s="129" t="s">
        <v>108</v>
      </c>
    </row>
    <row r="6" spans="1:2" ht="18.75" customHeight="1" x14ac:dyDescent="0.25">
      <c r="A6" s="121" t="s">
        <v>204</v>
      </c>
      <c r="B6" s="130"/>
    </row>
    <row r="7" spans="1:2" ht="18.75" customHeight="1" x14ac:dyDescent="0.25">
      <c r="A7" s="121" t="s">
        <v>205</v>
      </c>
      <c r="B7" s="130"/>
    </row>
    <row r="8" spans="1:2" ht="18.75" customHeight="1" x14ac:dyDescent="0.25">
      <c r="A8" s="121" t="s">
        <v>479</v>
      </c>
      <c r="B8" s="131">
        <v>0</v>
      </c>
    </row>
    <row r="9" spans="1:2" ht="18.75" customHeight="1" x14ac:dyDescent="0.25">
      <c r="A9" s="121" t="s">
        <v>206</v>
      </c>
      <c r="B9" s="131">
        <v>9082.7999999999993</v>
      </c>
    </row>
    <row r="10" spans="1:2" ht="18.75" customHeight="1" x14ac:dyDescent="0.25">
      <c r="A10" s="121" t="s">
        <v>207</v>
      </c>
      <c r="B10" s="131">
        <v>12933.31</v>
      </c>
    </row>
    <row r="11" spans="1:2" ht="18.75" customHeight="1" x14ac:dyDescent="0.25">
      <c r="A11" s="121" t="s">
        <v>381</v>
      </c>
      <c r="B11" s="131">
        <v>3032.5</v>
      </c>
    </row>
    <row r="12" spans="1:2" ht="18.75" customHeight="1" x14ac:dyDescent="0.25">
      <c r="A12" s="121" t="s">
        <v>208</v>
      </c>
      <c r="B12" s="131">
        <v>12935.6</v>
      </c>
    </row>
    <row r="13" spans="1:2" ht="18.75" customHeight="1" x14ac:dyDescent="0.25">
      <c r="A13" s="121" t="s">
        <v>382</v>
      </c>
      <c r="B13" s="131">
        <v>530</v>
      </c>
    </row>
    <row r="14" spans="1:2" ht="18.75" customHeight="1" x14ac:dyDescent="0.25">
      <c r="A14" s="121" t="s">
        <v>209</v>
      </c>
      <c r="B14" s="131">
        <v>-20153.11</v>
      </c>
    </row>
    <row r="15" spans="1:2" ht="18.75" customHeight="1" x14ac:dyDescent="0.25">
      <c r="A15" s="121" t="s">
        <v>210</v>
      </c>
      <c r="B15" s="131">
        <v>-13215</v>
      </c>
    </row>
    <row r="16" spans="1:2" ht="18.75" customHeight="1" x14ac:dyDescent="0.25">
      <c r="A16" s="121" t="s">
        <v>211</v>
      </c>
      <c r="B16" s="132">
        <f>(((((((B8)+(B9))+(B10))+(B11))+(B12))+(B13))+(B14))+(B15)</f>
        <v>5146.0999999999985</v>
      </c>
    </row>
    <row r="17" spans="1:2" ht="18.75" customHeight="1" x14ac:dyDescent="0.25">
      <c r="A17" s="121" t="s">
        <v>212</v>
      </c>
      <c r="B17" s="132">
        <f>B16</f>
        <v>5146.0999999999985</v>
      </c>
    </row>
    <row r="18" spans="1:2" ht="18.75" customHeight="1" x14ac:dyDescent="0.25">
      <c r="A18" s="121" t="s">
        <v>213</v>
      </c>
      <c r="B18" s="130"/>
    </row>
    <row r="19" spans="1:2" ht="18.75" customHeight="1" x14ac:dyDescent="0.25">
      <c r="A19" s="121" t="s">
        <v>214</v>
      </c>
      <c r="B19" s="130"/>
    </row>
    <row r="20" spans="1:2" ht="18.75" customHeight="1" x14ac:dyDescent="0.25">
      <c r="A20" s="121" t="s">
        <v>215</v>
      </c>
      <c r="B20" s="131">
        <v>2410.21</v>
      </c>
    </row>
    <row r="21" spans="1:2" ht="18.75" customHeight="1" x14ac:dyDescent="0.25">
      <c r="A21" s="121" t="s">
        <v>216</v>
      </c>
      <c r="B21" s="131">
        <v>1114.04</v>
      </c>
    </row>
    <row r="22" spans="1:2" ht="18.75" customHeight="1" x14ac:dyDescent="0.25">
      <c r="A22" s="121" t="s">
        <v>217</v>
      </c>
      <c r="B22" s="131">
        <v>58926.26</v>
      </c>
    </row>
    <row r="23" spans="1:2" ht="18.75" customHeight="1" x14ac:dyDescent="0.25">
      <c r="A23" s="121" t="s">
        <v>218</v>
      </c>
      <c r="B23" s="131">
        <v>25.17</v>
      </c>
    </row>
    <row r="24" spans="1:2" ht="18.75" customHeight="1" x14ac:dyDescent="0.25">
      <c r="A24" s="121" t="s">
        <v>219</v>
      </c>
      <c r="B24" s="132">
        <f>((((B19)+(B20))+(B21))+(B22))+(B23)</f>
        <v>62475.68</v>
      </c>
    </row>
    <row r="25" spans="1:2" ht="18.75" customHeight="1" x14ac:dyDescent="0.25">
      <c r="A25" s="121" t="s">
        <v>220</v>
      </c>
      <c r="B25" s="132">
        <f>B24</f>
        <v>62475.68</v>
      </c>
    </row>
    <row r="26" spans="1:2" ht="18.75" customHeight="1" x14ac:dyDescent="0.25">
      <c r="A26" s="121" t="s">
        <v>221</v>
      </c>
      <c r="B26" s="130"/>
    </row>
    <row r="27" spans="1:2" ht="18.75" customHeight="1" x14ac:dyDescent="0.25">
      <c r="A27" s="121" t="s">
        <v>222</v>
      </c>
      <c r="B27" s="191">
        <f>3584.47</f>
        <v>3584.47</v>
      </c>
    </row>
    <row r="28" spans="1:2" ht="18.75" customHeight="1" x14ac:dyDescent="0.25">
      <c r="A28" s="121" t="s">
        <v>223</v>
      </c>
      <c r="B28" s="131">
        <f>0</f>
        <v>0</v>
      </c>
    </row>
    <row r="29" spans="1:2" ht="18.75" customHeight="1" x14ac:dyDescent="0.25">
      <c r="A29" s="121" t="s">
        <v>224</v>
      </c>
      <c r="B29" s="132">
        <f>(B27)+(B28)</f>
        <v>3584.47</v>
      </c>
    </row>
    <row r="30" spans="1:2" ht="18.75" customHeight="1" x14ac:dyDescent="0.25">
      <c r="A30" s="121" t="s">
        <v>225</v>
      </c>
      <c r="B30" s="131">
        <f>0</f>
        <v>0</v>
      </c>
    </row>
    <row r="31" spans="1:2" ht="18.75" customHeight="1" x14ac:dyDescent="0.25">
      <c r="A31" s="121" t="s">
        <v>480</v>
      </c>
      <c r="B31" s="131">
        <f>135.09</f>
        <v>135.09</v>
      </c>
    </row>
    <row r="32" spans="1:2" ht="18.75" customHeight="1" x14ac:dyDescent="0.25">
      <c r="A32" s="121" t="s">
        <v>226</v>
      </c>
      <c r="B32" s="132">
        <f>((B29)+(B30))+(B31)</f>
        <v>3719.56</v>
      </c>
    </row>
    <row r="33" spans="1:2" ht="18.75" customHeight="1" x14ac:dyDescent="0.25">
      <c r="A33" s="121" t="s">
        <v>177</v>
      </c>
      <c r="B33" s="130"/>
    </row>
    <row r="34" spans="1:2" ht="18.75" customHeight="1" x14ac:dyDescent="0.25">
      <c r="A34" s="121" t="s">
        <v>227</v>
      </c>
      <c r="B34" s="131">
        <f>0</f>
        <v>0</v>
      </c>
    </row>
    <row r="35" spans="1:2" ht="18.75" customHeight="1" x14ac:dyDescent="0.25">
      <c r="A35" s="121" t="s">
        <v>228</v>
      </c>
      <c r="B35" s="191">
        <f>1555</f>
        <v>1555</v>
      </c>
    </row>
    <row r="36" spans="1:2" ht="18.75" customHeight="1" x14ac:dyDescent="0.25">
      <c r="A36" s="121" t="s">
        <v>229</v>
      </c>
      <c r="B36" s="131">
        <f>0</f>
        <v>0</v>
      </c>
    </row>
    <row r="37" spans="1:2" ht="18.75" customHeight="1" x14ac:dyDescent="0.25">
      <c r="A37" s="121" t="s">
        <v>230</v>
      </c>
      <c r="B37" s="131">
        <f>0.3</f>
        <v>0.3</v>
      </c>
    </row>
    <row r="38" spans="1:2" ht="18.75" customHeight="1" x14ac:dyDescent="0.25">
      <c r="A38" s="121" t="s">
        <v>231</v>
      </c>
      <c r="B38" s="132">
        <f>(((B34)+(B35))+(B36))+(B37)</f>
        <v>1555.3</v>
      </c>
    </row>
    <row r="39" spans="1:2" ht="18.75" customHeight="1" x14ac:dyDescent="0.25">
      <c r="A39" s="121" t="s">
        <v>232</v>
      </c>
      <c r="B39" s="132">
        <f>((B25)+(B32))+(B38)</f>
        <v>67750.540000000008</v>
      </c>
    </row>
    <row r="40" spans="1:2" ht="18.75" customHeight="1" x14ac:dyDescent="0.25">
      <c r="A40" s="121" t="s">
        <v>178</v>
      </c>
      <c r="B40" s="130"/>
    </row>
    <row r="41" spans="1:2" ht="18.75" customHeight="1" x14ac:dyDescent="0.25">
      <c r="A41" s="121" t="s">
        <v>233</v>
      </c>
      <c r="B41" s="130"/>
    </row>
    <row r="42" spans="1:2" ht="18.75" customHeight="1" x14ac:dyDescent="0.25">
      <c r="A42" s="121" t="s">
        <v>234</v>
      </c>
      <c r="B42" s="191">
        <f>7283.26</f>
        <v>7283.26</v>
      </c>
    </row>
    <row r="43" spans="1:2" ht="18.75" customHeight="1" x14ac:dyDescent="0.25">
      <c r="A43" s="121" t="s">
        <v>235</v>
      </c>
      <c r="B43" s="132">
        <f>B42</f>
        <v>7283.26</v>
      </c>
    </row>
    <row r="44" spans="1:2" ht="18.75" customHeight="1" x14ac:dyDescent="0.25">
      <c r="A44" s="121" t="s">
        <v>236</v>
      </c>
      <c r="B44" s="130"/>
    </row>
    <row r="45" spans="1:2" ht="18.75" customHeight="1" x14ac:dyDescent="0.25">
      <c r="A45" s="121" t="s">
        <v>237</v>
      </c>
      <c r="B45" s="131">
        <f>0</f>
        <v>0</v>
      </c>
    </row>
    <row r="46" spans="1:2" ht="18.75" customHeight="1" x14ac:dyDescent="0.25">
      <c r="A46" s="121" t="s">
        <v>238</v>
      </c>
      <c r="B46" s="191">
        <f>12857.46</f>
        <v>12857.46</v>
      </c>
    </row>
    <row r="47" spans="1:2" ht="18.75" customHeight="1" x14ac:dyDescent="0.25">
      <c r="A47" s="121" t="s">
        <v>239</v>
      </c>
      <c r="B47" s="131">
        <f>0</f>
        <v>0</v>
      </c>
    </row>
    <row r="48" spans="1:2" ht="18.75" customHeight="1" x14ac:dyDescent="0.25">
      <c r="A48" s="121" t="s">
        <v>240</v>
      </c>
      <c r="B48" s="132">
        <f>((B45)+(B46))+(B47)</f>
        <v>12857.46</v>
      </c>
    </row>
    <row r="49" spans="1:2" ht="18.75" customHeight="1" x14ac:dyDescent="0.25">
      <c r="A49" s="121" t="s">
        <v>241</v>
      </c>
      <c r="B49" s="132">
        <f>(B43)+(B48)</f>
        <v>20140.72</v>
      </c>
    </row>
    <row r="50" spans="1:2" ht="18.75" customHeight="1" x14ac:dyDescent="0.25">
      <c r="A50" s="121" t="s">
        <v>242</v>
      </c>
      <c r="B50" s="132">
        <f>((B39)+(0))-(B49)</f>
        <v>47609.820000000007</v>
      </c>
    </row>
    <row r="51" spans="1:2" ht="18.75" customHeight="1" x14ac:dyDescent="0.25">
      <c r="A51" s="121" t="s">
        <v>243</v>
      </c>
      <c r="B51" s="132">
        <f>((0)+(B17))+(B50)</f>
        <v>52755.920000000006</v>
      </c>
    </row>
    <row r="52" spans="1:2" ht="18.75" customHeight="1" x14ac:dyDescent="0.25">
      <c r="A52" s="121" t="s">
        <v>244</v>
      </c>
      <c r="B52" s="132">
        <f>(((B51)-(0))-(0))-(0)</f>
        <v>52755.920000000006</v>
      </c>
    </row>
    <row r="53" spans="1:2" ht="18.75" customHeight="1" x14ac:dyDescent="0.25">
      <c r="A53" s="121" t="s">
        <v>245</v>
      </c>
      <c r="B53" s="130"/>
    </row>
    <row r="54" spans="1:2" ht="18.75" customHeight="1" x14ac:dyDescent="0.25">
      <c r="A54" s="121" t="s">
        <v>246</v>
      </c>
      <c r="B54" s="191">
        <f>74534.83</f>
        <v>74534.83</v>
      </c>
    </row>
    <row r="55" spans="1:2" ht="18.75" customHeight="1" x14ac:dyDescent="0.25">
      <c r="A55" s="121" t="s">
        <v>247</v>
      </c>
      <c r="B55" s="191">
        <f>-21778.91</f>
        <v>-21778.91</v>
      </c>
    </row>
    <row r="56" spans="1:2" ht="18.75" customHeight="1" x14ac:dyDescent="0.25">
      <c r="A56" s="121" t="s">
        <v>248</v>
      </c>
      <c r="B56" s="132">
        <f>(B54)+(B55)</f>
        <v>52755.92</v>
      </c>
    </row>
    <row r="57" spans="1:2" ht="18.75" customHeight="1" x14ac:dyDescent="0.25">
      <c r="A57" s="121"/>
      <c r="B57" s="130"/>
    </row>
    <row r="60" spans="1:2" ht="18.75" customHeight="1" x14ac:dyDescent="0.25">
      <c r="A60" s="287" t="s">
        <v>481</v>
      </c>
      <c r="B60" s="280"/>
    </row>
  </sheetData>
  <mergeCells count="4">
    <mergeCell ref="A1:B1"/>
    <mergeCell ref="A2:B2"/>
    <mergeCell ref="A3:B3"/>
    <mergeCell ref="A60:B60"/>
  </mergeCells>
  <pageMargins left="0.7" right="0.7" top="0.75" bottom="0.75" header="0.3" footer="0.3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9D38D-F8C0-4B22-82EF-D4EC4908D90F}">
  <sheetPr>
    <tabColor theme="5"/>
  </sheetPr>
  <dimension ref="A1:Z103"/>
  <sheetViews>
    <sheetView topLeftCell="B40" workbookViewId="0">
      <selection activeCell="T68" sqref="T68"/>
    </sheetView>
  </sheetViews>
  <sheetFormatPr defaultColWidth="8.85546875" defaultRowHeight="12.75" x14ac:dyDescent="0.2"/>
  <cols>
    <col min="1" max="1" width="29" style="27" customWidth="1"/>
    <col min="2" max="2" width="13.140625" style="27" customWidth="1"/>
    <col min="3" max="3" width="17.7109375" style="27" customWidth="1"/>
    <col min="4" max="4" width="10.7109375" style="27" customWidth="1"/>
    <col min="5" max="5" width="17.140625" style="28" customWidth="1"/>
    <col min="6" max="6" width="11" style="28" customWidth="1"/>
    <col min="7" max="8" width="8.85546875" style="27"/>
    <col min="9" max="9" width="11.140625" style="28" customWidth="1"/>
    <col min="10" max="10" width="11" style="28" customWidth="1"/>
    <col min="11" max="11" width="11.140625" style="28" customWidth="1"/>
    <col min="12" max="12" width="3.140625" style="27" customWidth="1"/>
    <col min="13" max="13" width="11.140625" style="29" customWidth="1"/>
    <col min="14" max="14" width="10.140625" style="27" bestFit="1" customWidth="1"/>
    <col min="15" max="15" width="9.5703125" style="27" customWidth="1"/>
    <col min="16" max="16" width="11.28515625" style="27" customWidth="1"/>
    <col min="17" max="17" width="3.42578125" style="27" customWidth="1"/>
    <col min="18" max="18" width="11.140625" style="29" customWidth="1"/>
    <col min="19" max="19" width="10.28515625" style="27" customWidth="1"/>
    <col min="20" max="20" width="10.140625" style="27" bestFit="1" customWidth="1"/>
    <col min="21" max="21" width="10.140625" style="27" customWidth="1"/>
    <col min="22" max="22" width="3.140625" style="27" customWidth="1"/>
    <col min="23" max="23" width="10.28515625" style="27" customWidth="1"/>
    <col min="24" max="24" width="10.140625" style="27" customWidth="1"/>
    <col min="25" max="236" width="8.85546875" style="27"/>
    <col min="237" max="237" width="42.140625" style="27" customWidth="1"/>
    <col min="238" max="238" width="18.7109375" style="27" customWidth="1"/>
    <col min="239" max="239" width="19.140625" style="27" customWidth="1"/>
    <col min="240" max="240" width="11.7109375" style="27" customWidth="1"/>
    <col min="241" max="241" width="8.85546875" style="27"/>
    <col min="242" max="242" width="13.42578125" style="27" customWidth="1"/>
    <col min="243" max="244" width="8.85546875" style="27"/>
    <col min="245" max="245" width="13.5703125" style="27" customWidth="1"/>
    <col min="246" max="246" width="34.28515625" style="27" customWidth="1"/>
    <col min="247" max="248" width="16.28515625" style="27" customWidth="1"/>
    <col min="249" max="249" width="11" style="27" customWidth="1"/>
    <col min="250" max="250" width="14.5703125" style="27" customWidth="1"/>
    <col min="251" max="251" width="3.140625" style="27" customWidth="1"/>
    <col min="252" max="257" width="9.5703125" style="27" customWidth="1"/>
    <col min="258" max="258" width="3.42578125" style="27" customWidth="1"/>
    <col min="259" max="259" width="9.7109375" style="27" customWidth="1"/>
    <col min="260" max="260" width="10.28515625" style="27" customWidth="1"/>
    <col min="261" max="261" width="9.7109375" style="27" customWidth="1"/>
    <col min="262" max="262" width="10.140625" style="27" customWidth="1"/>
    <col min="263" max="263" width="9.7109375" style="27" customWidth="1"/>
    <col min="264" max="264" width="10.28515625" style="27" customWidth="1"/>
    <col min="265" max="265" width="2.85546875" style="27" customWidth="1"/>
    <col min="266" max="271" width="8.5703125" style="27" customWidth="1"/>
    <col min="272" max="272" width="3.5703125" style="27" customWidth="1"/>
    <col min="273" max="273" width="9" style="27" customWidth="1"/>
    <col min="274" max="274" width="10.28515625" style="27" customWidth="1"/>
    <col min="275" max="275" width="9" style="27" customWidth="1"/>
    <col min="276" max="276" width="10.5703125" style="27" customWidth="1"/>
    <col min="277" max="277" width="9.140625" style="27" customWidth="1"/>
    <col min="278" max="278" width="10.5703125" style="27" customWidth="1"/>
    <col min="279" max="279" width="8.85546875" style="27"/>
    <col min="280" max="280" width="11.7109375" style="27" customWidth="1"/>
    <col min="281" max="492" width="8.85546875" style="27"/>
    <col min="493" max="493" width="42.140625" style="27" customWidth="1"/>
    <col min="494" max="494" width="18.7109375" style="27" customWidth="1"/>
    <col min="495" max="495" width="19.140625" style="27" customWidth="1"/>
    <col min="496" max="496" width="11.7109375" style="27" customWidth="1"/>
    <col min="497" max="497" width="8.85546875" style="27"/>
    <col min="498" max="498" width="13.42578125" style="27" customWidth="1"/>
    <col min="499" max="500" width="8.85546875" style="27"/>
    <col min="501" max="501" width="13.5703125" style="27" customWidth="1"/>
    <col min="502" max="502" width="34.28515625" style="27" customWidth="1"/>
    <col min="503" max="504" width="16.28515625" style="27" customWidth="1"/>
    <col min="505" max="505" width="11" style="27" customWidth="1"/>
    <col min="506" max="506" width="14.5703125" style="27" customWidth="1"/>
    <col min="507" max="507" width="3.140625" style="27" customWidth="1"/>
    <col min="508" max="513" width="9.5703125" style="27" customWidth="1"/>
    <col min="514" max="514" width="3.42578125" style="27" customWidth="1"/>
    <col min="515" max="515" width="9.7109375" style="27" customWidth="1"/>
    <col min="516" max="516" width="10.28515625" style="27" customWidth="1"/>
    <col min="517" max="517" width="9.7109375" style="27" customWidth="1"/>
    <col min="518" max="518" width="10.140625" style="27" customWidth="1"/>
    <col min="519" max="519" width="9.7109375" style="27" customWidth="1"/>
    <col min="520" max="520" width="10.28515625" style="27" customWidth="1"/>
    <col min="521" max="521" width="2.85546875" style="27" customWidth="1"/>
    <col min="522" max="527" width="8.5703125" style="27" customWidth="1"/>
    <col min="528" max="528" width="3.5703125" style="27" customWidth="1"/>
    <col min="529" max="529" width="9" style="27" customWidth="1"/>
    <col min="530" max="530" width="10.28515625" style="27" customWidth="1"/>
    <col min="531" max="531" width="9" style="27" customWidth="1"/>
    <col min="532" max="532" width="10.5703125" style="27" customWidth="1"/>
    <col min="533" max="533" width="9.140625" style="27" customWidth="1"/>
    <col min="534" max="534" width="10.5703125" style="27" customWidth="1"/>
    <col min="535" max="535" width="8.85546875" style="27"/>
    <col min="536" max="536" width="11.7109375" style="27" customWidth="1"/>
    <col min="537" max="748" width="8.85546875" style="27"/>
    <col min="749" max="749" width="42.140625" style="27" customWidth="1"/>
    <col min="750" max="750" width="18.7109375" style="27" customWidth="1"/>
    <col min="751" max="751" width="19.140625" style="27" customWidth="1"/>
    <col min="752" max="752" width="11.7109375" style="27" customWidth="1"/>
    <col min="753" max="753" width="8.85546875" style="27"/>
    <col min="754" max="754" width="13.42578125" style="27" customWidth="1"/>
    <col min="755" max="756" width="8.85546875" style="27"/>
    <col min="757" max="757" width="13.5703125" style="27" customWidth="1"/>
    <col min="758" max="758" width="34.28515625" style="27" customWidth="1"/>
    <col min="759" max="760" width="16.28515625" style="27" customWidth="1"/>
    <col min="761" max="761" width="11" style="27" customWidth="1"/>
    <col min="762" max="762" width="14.5703125" style="27" customWidth="1"/>
    <col min="763" max="763" width="3.140625" style="27" customWidth="1"/>
    <col min="764" max="769" width="9.5703125" style="27" customWidth="1"/>
    <col min="770" max="770" width="3.42578125" style="27" customWidth="1"/>
    <col min="771" max="771" width="9.7109375" style="27" customWidth="1"/>
    <col min="772" max="772" width="10.28515625" style="27" customWidth="1"/>
    <col min="773" max="773" width="9.7109375" style="27" customWidth="1"/>
    <col min="774" max="774" width="10.140625" style="27" customWidth="1"/>
    <col min="775" max="775" width="9.7109375" style="27" customWidth="1"/>
    <col min="776" max="776" width="10.28515625" style="27" customWidth="1"/>
    <col min="777" max="777" width="2.85546875" style="27" customWidth="1"/>
    <col min="778" max="783" width="8.5703125" style="27" customWidth="1"/>
    <col min="784" max="784" width="3.5703125" style="27" customWidth="1"/>
    <col min="785" max="785" width="9" style="27" customWidth="1"/>
    <col min="786" max="786" width="10.28515625" style="27" customWidth="1"/>
    <col min="787" max="787" width="9" style="27" customWidth="1"/>
    <col min="788" max="788" width="10.5703125" style="27" customWidth="1"/>
    <col min="789" max="789" width="9.140625" style="27" customWidth="1"/>
    <col min="790" max="790" width="10.5703125" style="27" customWidth="1"/>
    <col min="791" max="791" width="8.85546875" style="27"/>
    <col min="792" max="792" width="11.7109375" style="27" customWidth="1"/>
    <col min="793" max="1004" width="8.85546875" style="27"/>
    <col min="1005" max="1005" width="42.140625" style="27" customWidth="1"/>
    <col min="1006" max="1006" width="18.7109375" style="27" customWidth="1"/>
    <col min="1007" max="1007" width="19.140625" style="27" customWidth="1"/>
    <col min="1008" max="1008" width="11.7109375" style="27" customWidth="1"/>
    <col min="1009" max="1009" width="8.85546875" style="27"/>
    <col min="1010" max="1010" width="13.42578125" style="27" customWidth="1"/>
    <col min="1011" max="1012" width="8.85546875" style="27"/>
    <col min="1013" max="1013" width="13.5703125" style="27" customWidth="1"/>
    <col min="1014" max="1014" width="34.28515625" style="27" customWidth="1"/>
    <col min="1015" max="1016" width="16.28515625" style="27" customWidth="1"/>
    <col min="1017" max="1017" width="11" style="27" customWidth="1"/>
    <col min="1018" max="1018" width="14.5703125" style="27" customWidth="1"/>
    <col min="1019" max="1019" width="3.140625" style="27" customWidth="1"/>
    <col min="1020" max="1025" width="9.5703125" style="27" customWidth="1"/>
    <col min="1026" max="1026" width="3.42578125" style="27" customWidth="1"/>
    <col min="1027" max="1027" width="9.7109375" style="27" customWidth="1"/>
    <col min="1028" max="1028" width="10.28515625" style="27" customWidth="1"/>
    <col min="1029" max="1029" width="9.7109375" style="27" customWidth="1"/>
    <col min="1030" max="1030" width="10.140625" style="27" customWidth="1"/>
    <col min="1031" max="1031" width="9.7109375" style="27" customWidth="1"/>
    <col min="1032" max="1032" width="10.28515625" style="27" customWidth="1"/>
    <col min="1033" max="1033" width="2.85546875" style="27" customWidth="1"/>
    <col min="1034" max="1039" width="8.5703125" style="27" customWidth="1"/>
    <col min="1040" max="1040" width="3.5703125" style="27" customWidth="1"/>
    <col min="1041" max="1041" width="9" style="27" customWidth="1"/>
    <col min="1042" max="1042" width="10.28515625" style="27" customWidth="1"/>
    <col min="1043" max="1043" width="9" style="27" customWidth="1"/>
    <col min="1044" max="1044" width="10.5703125" style="27" customWidth="1"/>
    <col min="1045" max="1045" width="9.140625" style="27" customWidth="1"/>
    <col min="1046" max="1046" width="10.5703125" style="27" customWidth="1"/>
    <col min="1047" max="1047" width="8.85546875" style="27"/>
    <col min="1048" max="1048" width="11.7109375" style="27" customWidth="1"/>
    <col min="1049" max="1260" width="8.85546875" style="27"/>
    <col min="1261" max="1261" width="42.140625" style="27" customWidth="1"/>
    <col min="1262" max="1262" width="18.7109375" style="27" customWidth="1"/>
    <col min="1263" max="1263" width="19.140625" style="27" customWidth="1"/>
    <col min="1264" max="1264" width="11.7109375" style="27" customWidth="1"/>
    <col min="1265" max="1265" width="8.85546875" style="27"/>
    <col min="1266" max="1266" width="13.42578125" style="27" customWidth="1"/>
    <col min="1267" max="1268" width="8.85546875" style="27"/>
    <col min="1269" max="1269" width="13.5703125" style="27" customWidth="1"/>
    <col min="1270" max="1270" width="34.28515625" style="27" customWidth="1"/>
    <col min="1271" max="1272" width="16.28515625" style="27" customWidth="1"/>
    <col min="1273" max="1273" width="11" style="27" customWidth="1"/>
    <col min="1274" max="1274" width="14.5703125" style="27" customWidth="1"/>
    <col min="1275" max="1275" width="3.140625" style="27" customWidth="1"/>
    <col min="1276" max="1281" width="9.5703125" style="27" customWidth="1"/>
    <col min="1282" max="1282" width="3.42578125" style="27" customWidth="1"/>
    <col min="1283" max="1283" width="9.7109375" style="27" customWidth="1"/>
    <col min="1284" max="1284" width="10.28515625" style="27" customWidth="1"/>
    <col min="1285" max="1285" width="9.7109375" style="27" customWidth="1"/>
    <col min="1286" max="1286" width="10.140625" style="27" customWidth="1"/>
    <col min="1287" max="1287" width="9.7109375" style="27" customWidth="1"/>
    <col min="1288" max="1288" width="10.28515625" style="27" customWidth="1"/>
    <col min="1289" max="1289" width="2.85546875" style="27" customWidth="1"/>
    <col min="1290" max="1295" width="8.5703125" style="27" customWidth="1"/>
    <col min="1296" max="1296" width="3.5703125" style="27" customWidth="1"/>
    <col min="1297" max="1297" width="9" style="27" customWidth="1"/>
    <col min="1298" max="1298" width="10.28515625" style="27" customWidth="1"/>
    <col min="1299" max="1299" width="9" style="27" customWidth="1"/>
    <col min="1300" max="1300" width="10.5703125" style="27" customWidth="1"/>
    <col min="1301" max="1301" width="9.140625" style="27" customWidth="1"/>
    <col min="1302" max="1302" width="10.5703125" style="27" customWidth="1"/>
    <col min="1303" max="1303" width="8.85546875" style="27"/>
    <col min="1304" max="1304" width="11.7109375" style="27" customWidth="1"/>
    <col min="1305" max="1516" width="8.85546875" style="27"/>
    <col min="1517" max="1517" width="42.140625" style="27" customWidth="1"/>
    <col min="1518" max="1518" width="18.7109375" style="27" customWidth="1"/>
    <col min="1519" max="1519" width="19.140625" style="27" customWidth="1"/>
    <col min="1520" max="1520" width="11.7109375" style="27" customWidth="1"/>
    <col min="1521" max="1521" width="8.85546875" style="27"/>
    <col min="1522" max="1522" width="13.42578125" style="27" customWidth="1"/>
    <col min="1523" max="1524" width="8.85546875" style="27"/>
    <col min="1525" max="1525" width="13.5703125" style="27" customWidth="1"/>
    <col min="1526" max="1526" width="34.28515625" style="27" customWidth="1"/>
    <col min="1527" max="1528" width="16.28515625" style="27" customWidth="1"/>
    <col min="1529" max="1529" width="11" style="27" customWidth="1"/>
    <col min="1530" max="1530" width="14.5703125" style="27" customWidth="1"/>
    <col min="1531" max="1531" width="3.140625" style="27" customWidth="1"/>
    <col min="1532" max="1537" width="9.5703125" style="27" customWidth="1"/>
    <col min="1538" max="1538" width="3.42578125" style="27" customWidth="1"/>
    <col min="1539" max="1539" width="9.7109375" style="27" customWidth="1"/>
    <col min="1540" max="1540" width="10.28515625" style="27" customWidth="1"/>
    <col min="1541" max="1541" width="9.7109375" style="27" customWidth="1"/>
    <col min="1542" max="1542" width="10.140625" style="27" customWidth="1"/>
    <col min="1543" max="1543" width="9.7109375" style="27" customWidth="1"/>
    <col min="1544" max="1544" width="10.28515625" style="27" customWidth="1"/>
    <col min="1545" max="1545" width="2.85546875" style="27" customWidth="1"/>
    <col min="1546" max="1551" width="8.5703125" style="27" customWidth="1"/>
    <col min="1552" max="1552" width="3.5703125" style="27" customWidth="1"/>
    <col min="1553" max="1553" width="9" style="27" customWidth="1"/>
    <col min="1554" max="1554" width="10.28515625" style="27" customWidth="1"/>
    <col min="1555" max="1555" width="9" style="27" customWidth="1"/>
    <col min="1556" max="1556" width="10.5703125" style="27" customWidth="1"/>
    <col min="1557" max="1557" width="9.140625" style="27" customWidth="1"/>
    <col min="1558" max="1558" width="10.5703125" style="27" customWidth="1"/>
    <col min="1559" max="1559" width="8.85546875" style="27"/>
    <col min="1560" max="1560" width="11.7109375" style="27" customWidth="1"/>
    <col min="1561" max="1772" width="8.85546875" style="27"/>
    <col min="1773" max="1773" width="42.140625" style="27" customWidth="1"/>
    <col min="1774" max="1774" width="18.7109375" style="27" customWidth="1"/>
    <col min="1775" max="1775" width="19.140625" style="27" customWidth="1"/>
    <col min="1776" max="1776" width="11.7109375" style="27" customWidth="1"/>
    <col min="1777" max="1777" width="8.85546875" style="27"/>
    <col min="1778" max="1778" width="13.42578125" style="27" customWidth="1"/>
    <col min="1779" max="1780" width="8.85546875" style="27"/>
    <col min="1781" max="1781" width="13.5703125" style="27" customWidth="1"/>
    <col min="1782" max="1782" width="34.28515625" style="27" customWidth="1"/>
    <col min="1783" max="1784" width="16.28515625" style="27" customWidth="1"/>
    <col min="1785" max="1785" width="11" style="27" customWidth="1"/>
    <col min="1786" max="1786" width="14.5703125" style="27" customWidth="1"/>
    <col min="1787" max="1787" width="3.140625" style="27" customWidth="1"/>
    <col min="1788" max="1793" width="9.5703125" style="27" customWidth="1"/>
    <col min="1794" max="1794" width="3.42578125" style="27" customWidth="1"/>
    <col min="1795" max="1795" width="9.7109375" style="27" customWidth="1"/>
    <col min="1796" max="1796" width="10.28515625" style="27" customWidth="1"/>
    <col min="1797" max="1797" width="9.7109375" style="27" customWidth="1"/>
    <col min="1798" max="1798" width="10.140625" style="27" customWidth="1"/>
    <col min="1799" max="1799" width="9.7109375" style="27" customWidth="1"/>
    <col min="1800" max="1800" width="10.28515625" style="27" customWidth="1"/>
    <col min="1801" max="1801" width="2.85546875" style="27" customWidth="1"/>
    <col min="1802" max="1807" width="8.5703125" style="27" customWidth="1"/>
    <col min="1808" max="1808" width="3.5703125" style="27" customWidth="1"/>
    <col min="1809" max="1809" width="9" style="27" customWidth="1"/>
    <col min="1810" max="1810" width="10.28515625" style="27" customWidth="1"/>
    <col min="1811" max="1811" width="9" style="27" customWidth="1"/>
    <col min="1812" max="1812" width="10.5703125" style="27" customWidth="1"/>
    <col min="1813" max="1813" width="9.140625" style="27" customWidth="1"/>
    <col min="1814" max="1814" width="10.5703125" style="27" customWidth="1"/>
    <col min="1815" max="1815" width="8.85546875" style="27"/>
    <col min="1816" max="1816" width="11.7109375" style="27" customWidth="1"/>
    <col min="1817" max="2028" width="8.85546875" style="27"/>
    <col min="2029" max="2029" width="42.140625" style="27" customWidth="1"/>
    <col min="2030" max="2030" width="18.7109375" style="27" customWidth="1"/>
    <col min="2031" max="2031" width="19.140625" style="27" customWidth="1"/>
    <col min="2032" max="2032" width="11.7109375" style="27" customWidth="1"/>
    <col min="2033" max="2033" width="8.85546875" style="27"/>
    <col min="2034" max="2034" width="13.42578125" style="27" customWidth="1"/>
    <col min="2035" max="2036" width="8.85546875" style="27"/>
    <col min="2037" max="2037" width="13.5703125" style="27" customWidth="1"/>
    <col min="2038" max="2038" width="34.28515625" style="27" customWidth="1"/>
    <col min="2039" max="2040" width="16.28515625" style="27" customWidth="1"/>
    <col min="2041" max="2041" width="11" style="27" customWidth="1"/>
    <col min="2042" max="2042" width="14.5703125" style="27" customWidth="1"/>
    <col min="2043" max="2043" width="3.140625" style="27" customWidth="1"/>
    <col min="2044" max="2049" width="9.5703125" style="27" customWidth="1"/>
    <col min="2050" max="2050" width="3.42578125" style="27" customWidth="1"/>
    <col min="2051" max="2051" width="9.7109375" style="27" customWidth="1"/>
    <col min="2052" max="2052" width="10.28515625" style="27" customWidth="1"/>
    <col min="2053" max="2053" width="9.7109375" style="27" customWidth="1"/>
    <col min="2054" max="2054" width="10.140625" style="27" customWidth="1"/>
    <col min="2055" max="2055" width="9.7109375" style="27" customWidth="1"/>
    <col min="2056" max="2056" width="10.28515625" style="27" customWidth="1"/>
    <col min="2057" max="2057" width="2.85546875" style="27" customWidth="1"/>
    <col min="2058" max="2063" width="8.5703125" style="27" customWidth="1"/>
    <col min="2064" max="2064" width="3.5703125" style="27" customWidth="1"/>
    <col min="2065" max="2065" width="9" style="27" customWidth="1"/>
    <col min="2066" max="2066" width="10.28515625" style="27" customWidth="1"/>
    <col min="2067" max="2067" width="9" style="27" customWidth="1"/>
    <col min="2068" max="2068" width="10.5703125" style="27" customWidth="1"/>
    <col min="2069" max="2069" width="9.140625" style="27" customWidth="1"/>
    <col min="2070" max="2070" width="10.5703125" style="27" customWidth="1"/>
    <col min="2071" max="2071" width="8.85546875" style="27"/>
    <col min="2072" max="2072" width="11.7109375" style="27" customWidth="1"/>
    <col min="2073" max="2284" width="8.85546875" style="27"/>
    <col min="2285" max="2285" width="42.140625" style="27" customWidth="1"/>
    <col min="2286" max="2286" width="18.7109375" style="27" customWidth="1"/>
    <col min="2287" max="2287" width="19.140625" style="27" customWidth="1"/>
    <col min="2288" max="2288" width="11.7109375" style="27" customWidth="1"/>
    <col min="2289" max="2289" width="8.85546875" style="27"/>
    <col min="2290" max="2290" width="13.42578125" style="27" customWidth="1"/>
    <col min="2291" max="2292" width="8.85546875" style="27"/>
    <col min="2293" max="2293" width="13.5703125" style="27" customWidth="1"/>
    <col min="2294" max="2294" width="34.28515625" style="27" customWidth="1"/>
    <col min="2295" max="2296" width="16.28515625" style="27" customWidth="1"/>
    <col min="2297" max="2297" width="11" style="27" customWidth="1"/>
    <col min="2298" max="2298" width="14.5703125" style="27" customWidth="1"/>
    <col min="2299" max="2299" width="3.140625" style="27" customWidth="1"/>
    <col min="2300" max="2305" width="9.5703125" style="27" customWidth="1"/>
    <col min="2306" max="2306" width="3.42578125" style="27" customWidth="1"/>
    <col min="2307" max="2307" width="9.7109375" style="27" customWidth="1"/>
    <col min="2308" max="2308" width="10.28515625" style="27" customWidth="1"/>
    <col min="2309" max="2309" width="9.7109375" style="27" customWidth="1"/>
    <col min="2310" max="2310" width="10.140625" style="27" customWidth="1"/>
    <col min="2311" max="2311" width="9.7109375" style="27" customWidth="1"/>
    <col min="2312" max="2312" width="10.28515625" style="27" customWidth="1"/>
    <col min="2313" max="2313" width="2.85546875" style="27" customWidth="1"/>
    <col min="2314" max="2319" width="8.5703125" style="27" customWidth="1"/>
    <col min="2320" max="2320" width="3.5703125" style="27" customWidth="1"/>
    <col min="2321" max="2321" width="9" style="27" customWidth="1"/>
    <col min="2322" max="2322" width="10.28515625" style="27" customWidth="1"/>
    <col min="2323" max="2323" width="9" style="27" customWidth="1"/>
    <col min="2324" max="2324" width="10.5703125" style="27" customWidth="1"/>
    <col min="2325" max="2325" width="9.140625" style="27" customWidth="1"/>
    <col min="2326" max="2326" width="10.5703125" style="27" customWidth="1"/>
    <col min="2327" max="2327" width="8.85546875" style="27"/>
    <col min="2328" max="2328" width="11.7109375" style="27" customWidth="1"/>
    <col min="2329" max="2540" width="8.85546875" style="27"/>
    <col min="2541" max="2541" width="42.140625" style="27" customWidth="1"/>
    <col min="2542" max="2542" width="18.7109375" style="27" customWidth="1"/>
    <col min="2543" max="2543" width="19.140625" style="27" customWidth="1"/>
    <col min="2544" max="2544" width="11.7109375" style="27" customWidth="1"/>
    <col min="2545" max="2545" width="8.85546875" style="27"/>
    <col min="2546" max="2546" width="13.42578125" style="27" customWidth="1"/>
    <col min="2547" max="2548" width="8.85546875" style="27"/>
    <col min="2549" max="2549" width="13.5703125" style="27" customWidth="1"/>
    <col min="2550" max="2550" width="34.28515625" style="27" customWidth="1"/>
    <col min="2551" max="2552" width="16.28515625" style="27" customWidth="1"/>
    <col min="2553" max="2553" width="11" style="27" customWidth="1"/>
    <col min="2554" max="2554" width="14.5703125" style="27" customWidth="1"/>
    <col min="2555" max="2555" width="3.140625" style="27" customWidth="1"/>
    <col min="2556" max="2561" width="9.5703125" style="27" customWidth="1"/>
    <col min="2562" max="2562" width="3.42578125" style="27" customWidth="1"/>
    <col min="2563" max="2563" width="9.7109375" style="27" customWidth="1"/>
    <col min="2564" max="2564" width="10.28515625" style="27" customWidth="1"/>
    <col min="2565" max="2565" width="9.7109375" style="27" customWidth="1"/>
    <col min="2566" max="2566" width="10.140625" style="27" customWidth="1"/>
    <col min="2567" max="2567" width="9.7109375" style="27" customWidth="1"/>
    <col min="2568" max="2568" width="10.28515625" style="27" customWidth="1"/>
    <col min="2569" max="2569" width="2.85546875" style="27" customWidth="1"/>
    <col min="2570" max="2575" width="8.5703125" style="27" customWidth="1"/>
    <col min="2576" max="2576" width="3.5703125" style="27" customWidth="1"/>
    <col min="2577" max="2577" width="9" style="27" customWidth="1"/>
    <col min="2578" max="2578" width="10.28515625" style="27" customWidth="1"/>
    <col min="2579" max="2579" width="9" style="27" customWidth="1"/>
    <col min="2580" max="2580" width="10.5703125" style="27" customWidth="1"/>
    <col min="2581" max="2581" width="9.140625" style="27" customWidth="1"/>
    <col min="2582" max="2582" width="10.5703125" style="27" customWidth="1"/>
    <col min="2583" max="2583" width="8.85546875" style="27"/>
    <col min="2584" max="2584" width="11.7109375" style="27" customWidth="1"/>
    <col min="2585" max="2796" width="8.85546875" style="27"/>
    <col min="2797" max="2797" width="42.140625" style="27" customWidth="1"/>
    <col min="2798" max="2798" width="18.7109375" style="27" customWidth="1"/>
    <col min="2799" max="2799" width="19.140625" style="27" customWidth="1"/>
    <col min="2800" max="2800" width="11.7109375" style="27" customWidth="1"/>
    <col min="2801" max="2801" width="8.85546875" style="27"/>
    <col min="2802" max="2802" width="13.42578125" style="27" customWidth="1"/>
    <col min="2803" max="2804" width="8.85546875" style="27"/>
    <col min="2805" max="2805" width="13.5703125" style="27" customWidth="1"/>
    <col min="2806" max="2806" width="34.28515625" style="27" customWidth="1"/>
    <col min="2807" max="2808" width="16.28515625" style="27" customWidth="1"/>
    <col min="2809" max="2809" width="11" style="27" customWidth="1"/>
    <col min="2810" max="2810" width="14.5703125" style="27" customWidth="1"/>
    <col min="2811" max="2811" width="3.140625" style="27" customWidth="1"/>
    <col min="2812" max="2817" width="9.5703125" style="27" customWidth="1"/>
    <col min="2818" max="2818" width="3.42578125" style="27" customWidth="1"/>
    <col min="2819" max="2819" width="9.7109375" style="27" customWidth="1"/>
    <col min="2820" max="2820" width="10.28515625" style="27" customWidth="1"/>
    <col min="2821" max="2821" width="9.7109375" style="27" customWidth="1"/>
    <col min="2822" max="2822" width="10.140625" style="27" customWidth="1"/>
    <col min="2823" max="2823" width="9.7109375" style="27" customWidth="1"/>
    <col min="2824" max="2824" width="10.28515625" style="27" customWidth="1"/>
    <col min="2825" max="2825" width="2.85546875" style="27" customWidth="1"/>
    <col min="2826" max="2831" width="8.5703125" style="27" customWidth="1"/>
    <col min="2832" max="2832" width="3.5703125" style="27" customWidth="1"/>
    <col min="2833" max="2833" width="9" style="27" customWidth="1"/>
    <col min="2834" max="2834" width="10.28515625" style="27" customWidth="1"/>
    <col min="2835" max="2835" width="9" style="27" customWidth="1"/>
    <col min="2836" max="2836" width="10.5703125" style="27" customWidth="1"/>
    <col min="2837" max="2837" width="9.140625" style="27" customWidth="1"/>
    <col min="2838" max="2838" width="10.5703125" style="27" customWidth="1"/>
    <col min="2839" max="2839" width="8.85546875" style="27"/>
    <col min="2840" max="2840" width="11.7109375" style="27" customWidth="1"/>
    <col min="2841" max="3052" width="8.85546875" style="27"/>
    <col min="3053" max="3053" width="42.140625" style="27" customWidth="1"/>
    <col min="3054" max="3054" width="18.7109375" style="27" customWidth="1"/>
    <col min="3055" max="3055" width="19.140625" style="27" customWidth="1"/>
    <col min="3056" max="3056" width="11.7109375" style="27" customWidth="1"/>
    <col min="3057" max="3057" width="8.85546875" style="27"/>
    <col min="3058" max="3058" width="13.42578125" style="27" customWidth="1"/>
    <col min="3059" max="3060" width="8.85546875" style="27"/>
    <col min="3061" max="3061" width="13.5703125" style="27" customWidth="1"/>
    <col min="3062" max="3062" width="34.28515625" style="27" customWidth="1"/>
    <col min="3063" max="3064" width="16.28515625" style="27" customWidth="1"/>
    <col min="3065" max="3065" width="11" style="27" customWidth="1"/>
    <col min="3066" max="3066" width="14.5703125" style="27" customWidth="1"/>
    <col min="3067" max="3067" width="3.140625" style="27" customWidth="1"/>
    <col min="3068" max="3073" width="9.5703125" style="27" customWidth="1"/>
    <col min="3074" max="3074" width="3.42578125" style="27" customWidth="1"/>
    <col min="3075" max="3075" width="9.7109375" style="27" customWidth="1"/>
    <col min="3076" max="3076" width="10.28515625" style="27" customWidth="1"/>
    <col min="3077" max="3077" width="9.7109375" style="27" customWidth="1"/>
    <col min="3078" max="3078" width="10.140625" style="27" customWidth="1"/>
    <col min="3079" max="3079" width="9.7109375" style="27" customWidth="1"/>
    <col min="3080" max="3080" width="10.28515625" style="27" customWidth="1"/>
    <col min="3081" max="3081" width="2.85546875" style="27" customWidth="1"/>
    <col min="3082" max="3087" width="8.5703125" style="27" customWidth="1"/>
    <col min="3088" max="3088" width="3.5703125" style="27" customWidth="1"/>
    <col min="3089" max="3089" width="9" style="27" customWidth="1"/>
    <col min="3090" max="3090" width="10.28515625" style="27" customWidth="1"/>
    <col min="3091" max="3091" width="9" style="27" customWidth="1"/>
    <col min="3092" max="3092" width="10.5703125" style="27" customWidth="1"/>
    <col min="3093" max="3093" width="9.140625" style="27" customWidth="1"/>
    <col min="3094" max="3094" width="10.5703125" style="27" customWidth="1"/>
    <col min="3095" max="3095" width="8.85546875" style="27"/>
    <col min="3096" max="3096" width="11.7109375" style="27" customWidth="1"/>
    <col min="3097" max="3308" width="8.85546875" style="27"/>
    <col min="3309" max="3309" width="42.140625" style="27" customWidth="1"/>
    <col min="3310" max="3310" width="18.7109375" style="27" customWidth="1"/>
    <col min="3311" max="3311" width="19.140625" style="27" customWidth="1"/>
    <col min="3312" max="3312" width="11.7109375" style="27" customWidth="1"/>
    <col min="3313" max="3313" width="8.85546875" style="27"/>
    <col min="3314" max="3314" width="13.42578125" style="27" customWidth="1"/>
    <col min="3315" max="3316" width="8.85546875" style="27"/>
    <col min="3317" max="3317" width="13.5703125" style="27" customWidth="1"/>
    <col min="3318" max="3318" width="34.28515625" style="27" customWidth="1"/>
    <col min="3319" max="3320" width="16.28515625" style="27" customWidth="1"/>
    <col min="3321" max="3321" width="11" style="27" customWidth="1"/>
    <col min="3322" max="3322" width="14.5703125" style="27" customWidth="1"/>
    <col min="3323" max="3323" width="3.140625" style="27" customWidth="1"/>
    <col min="3324" max="3329" width="9.5703125" style="27" customWidth="1"/>
    <col min="3330" max="3330" width="3.42578125" style="27" customWidth="1"/>
    <col min="3331" max="3331" width="9.7109375" style="27" customWidth="1"/>
    <col min="3332" max="3332" width="10.28515625" style="27" customWidth="1"/>
    <col min="3333" max="3333" width="9.7109375" style="27" customWidth="1"/>
    <col min="3334" max="3334" width="10.140625" style="27" customWidth="1"/>
    <col min="3335" max="3335" width="9.7109375" style="27" customWidth="1"/>
    <col min="3336" max="3336" width="10.28515625" style="27" customWidth="1"/>
    <col min="3337" max="3337" width="2.85546875" style="27" customWidth="1"/>
    <col min="3338" max="3343" width="8.5703125" style="27" customWidth="1"/>
    <col min="3344" max="3344" width="3.5703125" style="27" customWidth="1"/>
    <col min="3345" max="3345" width="9" style="27" customWidth="1"/>
    <col min="3346" max="3346" width="10.28515625" style="27" customWidth="1"/>
    <col min="3347" max="3347" width="9" style="27" customWidth="1"/>
    <col min="3348" max="3348" width="10.5703125" style="27" customWidth="1"/>
    <col min="3349" max="3349" width="9.140625" style="27" customWidth="1"/>
    <col min="3350" max="3350" width="10.5703125" style="27" customWidth="1"/>
    <col min="3351" max="3351" width="8.85546875" style="27"/>
    <col min="3352" max="3352" width="11.7109375" style="27" customWidth="1"/>
    <col min="3353" max="3564" width="8.85546875" style="27"/>
    <col min="3565" max="3565" width="42.140625" style="27" customWidth="1"/>
    <col min="3566" max="3566" width="18.7109375" style="27" customWidth="1"/>
    <col min="3567" max="3567" width="19.140625" style="27" customWidth="1"/>
    <col min="3568" max="3568" width="11.7109375" style="27" customWidth="1"/>
    <col min="3569" max="3569" width="8.85546875" style="27"/>
    <col min="3570" max="3570" width="13.42578125" style="27" customWidth="1"/>
    <col min="3571" max="3572" width="8.85546875" style="27"/>
    <col min="3573" max="3573" width="13.5703125" style="27" customWidth="1"/>
    <col min="3574" max="3574" width="34.28515625" style="27" customWidth="1"/>
    <col min="3575" max="3576" width="16.28515625" style="27" customWidth="1"/>
    <col min="3577" max="3577" width="11" style="27" customWidth="1"/>
    <col min="3578" max="3578" width="14.5703125" style="27" customWidth="1"/>
    <col min="3579" max="3579" width="3.140625" style="27" customWidth="1"/>
    <col min="3580" max="3585" width="9.5703125" style="27" customWidth="1"/>
    <col min="3586" max="3586" width="3.42578125" style="27" customWidth="1"/>
    <col min="3587" max="3587" width="9.7109375" style="27" customWidth="1"/>
    <col min="3588" max="3588" width="10.28515625" style="27" customWidth="1"/>
    <col min="3589" max="3589" width="9.7109375" style="27" customWidth="1"/>
    <col min="3590" max="3590" width="10.140625" style="27" customWidth="1"/>
    <col min="3591" max="3591" width="9.7109375" style="27" customWidth="1"/>
    <col min="3592" max="3592" width="10.28515625" style="27" customWidth="1"/>
    <col min="3593" max="3593" width="2.85546875" style="27" customWidth="1"/>
    <col min="3594" max="3599" width="8.5703125" style="27" customWidth="1"/>
    <col min="3600" max="3600" width="3.5703125" style="27" customWidth="1"/>
    <col min="3601" max="3601" width="9" style="27" customWidth="1"/>
    <col min="3602" max="3602" width="10.28515625" style="27" customWidth="1"/>
    <col min="3603" max="3603" width="9" style="27" customWidth="1"/>
    <col min="3604" max="3604" width="10.5703125" style="27" customWidth="1"/>
    <col min="3605" max="3605" width="9.140625" style="27" customWidth="1"/>
    <col min="3606" max="3606" width="10.5703125" style="27" customWidth="1"/>
    <col min="3607" max="3607" width="8.85546875" style="27"/>
    <col min="3608" max="3608" width="11.7109375" style="27" customWidth="1"/>
    <col min="3609" max="3820" width="8.85546875" style="27"/>
    <col min="3821" max="3821" width="42.140625" style="27" customWidth="1"/>
    <col min="3822" max="3822" width="18.7109375" style="27" customWidth="1"/>
    <col min="3823" max="3823" width="19.140625" style="27" customWidth="1"/>
    <col min="3824" max="3824" width="11.7109375" style="27" customWidth="1"/>
    <col min="3825" max="3825" width="8.85546875" style="27"/>
    <col min="3826" max="3826" width="13.42578125" style="27" customWidth="1"/>
    <col min="3827" max="3828" width="8.85546875" style="27"/>
    <col min="3829" max="3829" width="13.5703125" style="27" customWidth="1"/>
    <col min="3830" max="3830" width="34.28515625" style="27" customWidth="1"/>
    <col min="3831" max="3832" width="16.28515625" style="27" customWidth="1"/>
    <col min="3833" max="3833" width="11" style="27" customWidth="1"/>
    <col min="3834" max="3834" width="14.5703125" style="27" customWidth="1"/>
    <col min="3835" max="3835" width="3.140625" style="27" customWidth="1"/>
    <col min="3836" max="3841" width="9.5703125" style="27" customWidth="1"/>
    <col min="3842" max="3842" width="3.42578125" style="27" customWidth="1"/>
    <col min="3843" max="3843" width="9.7109375" style="27" customWidth="1"/>
    <col min="3844" max="3844" width="10.28515625" style="27" customWidth="1"/>
    <col min="3845" max="3845" width="9.7109375" style="27" customWidth="1"/>
    <col min="3846" max="3846" width="10.140625" style="27" customWidth="1"/>
    <col min="3847" max="3847" width="9.7109375" style="27" customWidth="1"/>
    <col min="3848" max="3848" width="10.28515625" style="27" customWidth="1"/>
    <col min="3849" max="3849" width="2.85546875" style="27" customWidth="1"/>
    <col min="3850" max="3855" width="8.5703125" style="27" customWidth="1"/>
    <col min="3856" max="3856" width="3.5703125" style="27" customWidth="1"/>
    <col min="3857" max="3857" width="9" style="27" customWidth="1"/>
    <col min="3858" max="3858" width="10.28515625" style="27" customWidth="1"/>
    <col min="3859" max="3859" width="9" style="27" customWidth="1"/>
    <col min="3860" max="3860" width="10.5703125" style="27" customWidth="1"/>
    <col min="3861" max="3861" width="9.140625" style="27" customWidth="1"/>
    <col min="3862" max="3862" width="10.5703125" style="27" customWidth="1"/>
    <col min="3863" max="3863" width="8.85546875" style="27"/>
    <col min="3864" max="3864" width="11.7109375" style="27" customWidth="1"/>
    <col min="3865" max="4076" width="8.85546875" style="27"/>
    <col min="4077" max="4077" width="42.140625" style="27" customWidth="1"/>
    <col min="4078" max="4078" width="18.7109375" style="27" customWidth="1"/>
    <col min="4079" max="4079" width="19.140625" style="27" customWidth="1"/>
    <col min="4080" max="4080" width="11.7109375" style="27" customWidth="1"/>
    <col min="4081" max="4081" width="8.85546875" style="27"/>
    <col min="4082" max="4082" width="13.42578125" style="27" customWidth="1"/>
    <col min="4083" max="4084" width="8.85546875" style="27"/>
    <col min="4085" max="4085" width="13.5703125" style="27" customWidth="1"/>
    <col min="4086" max="4086" width="34.28515625" style="27" customWidth="1"/>
    <col min="4087" max="4088" width="16.28515625" style="27" customWidth="1"/>
    <col min="4089" max="4089" width="11" style="27" customWidth="1"/>
    <col min="4090" max="4090" width="14.5703125" style="27" customWidth="1"/>
    <col min="4091" max="4091" width="3.140625" style="27" customWidth="1"/>
    <col min="4092" max="4097" width="9.5703125" style="27" customWidth="1"/>
    <col min="4098" max="4098" width="3.42578125" style="27" customWidth="1"/>
    <col min="4099" max="4099" width="9.7109375" style="27" customWidth="1"/>
    <col min="4100" max="4100" width="10.28515625" style="27" customWidth="1"/>
    <col min="4101" max="4101" width="9.7109375" style="27" customWidth="1"/>
    <col min="4102" max="4102" width="10.140625" style="27" customWidth="1"/>
    <col min="4103" max="4103" width="9.7109375" style="27" customWidth="1"/>
    <col min="4104" max="4104" width="10.28515625" style="27" customWidth="1"/>
    <col min="4105" max="4105" width="2.85546875" style="27" customWidth="1"/>
    <col min="4106" max="4111" width="8.5703125" style="27" customWidth="1"/>
    <col min="4112" max="4112" width="3.5703125" style="27" customWidth="1"/>
    <col min="4113" max="4113" width="9" style="27" customWidth="1"/>
    <col min="4114" max="4114" width="10.28515625" style="27" customWidth="1"/>
    <col min="4115" max="4115" width="9" style="27" customWidth="1"/>
    <col min="4116" max="4116" width="10.5703125" style="27" customWidth="1"/>
    <col min="4117" max="4117" width="9.140625" style="27" customWidth="1"/>
    <col min="4118" max="4118" width="10.5703125" style="27" customWidth="1"/>
    <col min="4119" max="4119" width="8.85546875" style="27"/>
    <col min="4120" max="4120" width="11.7109375" style="27" customWidth="1"/>
    <col min="4121" max="4332" width="8.85546875" style="27"/>
    <col min="4333" max="4333" width="42.140625" style="27" customWidth="1"/>
    <col min="4334" max="4334" width="18.7109375" style="27" customWidth="1"/>
    <col min="4335" max="4335" width="19.140625" style="27" customWidth="1"/>
    <col min="4336" max="4336" width="11.7109375" style="27" customWidth="1"/>
    <col min="4337" max="4337" width="8.85546875" style="27"/>
    <col min="4338" max="4338" width="13.42578125" style="27" customWidth="1"/>
    <col min="4339" max="4340" width="8.85546875" style="27"/>
    <col min="4341" max="4341" width="13.5703125" style="27" customWidth="1"/>
    <col min="4342" max="4342" width="34.28515625" style="27" customWidth="1"/>
    <col min="4343" max="4344" width="16.28515625" style="27" customWidth="1"/>
    <col min="4345" max="4345" width="11" style="27" customWidth="1"/>
    <col min="4346" max="4346" width="14.5703125" style="27" customWidth="1"/>
    <col min="4347" max="4347" width="3.140625" style="27" customWidth="1"/>
    <col min="4348" max="4353" width="9.5703125" style="27" customWidth="1"/>
    <col min="4354" max="4354" width="3.42578125" style="27" customWidth="1"/>
    <col min="4355" max="4355" width="9.7109375" style="27" customWidth="1"/>
    <col min="4356" max="4356" width="10.28515625" style="27" customWidth="1"/>
    <col min="4357" max="4357" width="9.7109375" style="27" customWidth="1"/>
    <col min="4358" max="4358" width="10.140625" style="27" customWidth="1"/>
    <col min="4359" max="4359" width="9.7109375" style="27" customWidth="1"/>
    <col min="4360" max="4360" width="10.28515625" style="27" customWidth="1"/>
    <col min="4361" max="4361" width="2.85546875" style="27" customWidth="1"/>
    <col min="4362" max="4367" width="8.5703125" style="27" customWidth="1"/>
    <col min="4368" max="4368" width="3.5703125" style="27" customWidth="1"/>
    <col min="4369" max="4369" width="9" style="27" customWidth="1"/>
    <col min="4370" max="4370" width="10.28515625" style="27" customWidth="1"/>
    <col min="4371" max="4371" width="9" style="27" customWidth="1"/>
    <col min="4372" max="4372" width="10.5703125" style="27" customWidth="1"/>
    <col min="4373" max="4373" width="9.140625" style="27" customWidth="1"/>
    <col min="4374" max="4374" width="10.5703125" style="27" customWidth="1"/>
    <col min="4375" max="4375" width="8.85546875" style="27"/>
    <col min="4376" max="4376" width="11.7109375" style="27" customWidth="1"/>
    <col min="4377" max="4588" width="8.85546875" style="27"/>
    <col min="4589" max="4589" width="42.140625" style="27" customWidth="1"/>
    <col min="4590" max="4590" width="18.7109375" style="27" customWidth="1"/>
    <col min="4591" max="4591" width="19.140625" style="27" customWidth="1"/>
    <col min="4592" max="4592" width="11.7109375" style="27" customWidth="1"/>
    <col min="4593" max="4593" width="8.85546875" style="27"/>
    <col min="4594" max="4594" width="13.42578125" style="27" customWidth="1"/>
    <col min="4595" max="4596" width="8.85546875" style="27"/>
    <col min="4597" max="4597" width="13.5703125" style="27" customWidth="1"/>
    <col min="4598" max="4598" width="34.28515625" style="27" customWidth="1"/>
    <col min="4599" max="4600" width="16.28515625" style="27" customWidth="1"/>
    <col min="4601" max="4601" width="11" style="27" customWidth="1"/>
    <col min="4602" max="4602" width="14.5703125" style="27" customWidth="1"/>
    <col min="4603" max="4603" width="3.140625" style="27" customWidth="1"/>
    <col min="4604" max="4609" width="9.5703125" style="27" customWidth="1"/>
    <col min="4610" max="4610" width="3.42578125" style="27" customWidth="1"/>
    <col min="4611" max="4611" width="9.7109375" style="27" customWidth="1"/>
    <col min="4612" max="4612" width="10.28515625" style="27" customWidth="1"/>
    <col min="4613" max="4613" width="9.7109375" style="27" customWidth="1"/>
    <col min="4614" max="4614" width="10.140625" style="27" customWidth="1"/>
    <col min="4615" max="4615" width="9.7109375" style="27" customWidth="1"/>
    <col min="4616" max="4616" width="10.28515625" style="27" customWidth="1"/>
    <col min="4617" max="4617" width="2.85546875" style="27" customWidth="1"/>
    <col min="4618" max="4623" width="8.5703125" style="27" customWidth="1"/>
    <col min="4624" max="4624" width="3.5703125" style="27" customWidth="1"/>
    <col min="4625" max="4625" width="9" style="27" customWidth="1"/>
    <col min="4626" max="4626" width="10.28515625" style="27" customWidth="1"/>
    <col min="4627" max="4627" width="9" style="27" customWidth="1"/>
    <col min="4628" max="4628" width="10.5703125" style="27" customWidth="1"/>
    <col min="4629" max="4629" width="9.140625" style="27" customWidth="1"/>
    <col min="4630" max="4630" width="10.5703125" style="27" customWidth="1"/>
    <col min="4631" max="4631" width="8.85546875" style="27"/>
    <col min="4632" max="4632" width="11.7109375" style="27" customWidth="1"/>
    <col min="4633" max="4844" width="8.85546875" style="27"/>
    <col min="4845" max="4845" width="42.140625" style="27" customWidth="1"/>
    <col min="4846" max="4846" width="18.7109375" style="27" customWidth="1"/>
    <col min="4847" max="4847" width="19.140625" style="27" customWidth="1"/>
    <col min="4848" max="4848" width="11.7109375" style="27" customWidth="1"/>
    <col min="4849" max="4849" width="8.85546875" style="27"/>
    <col min="4850" max="4850" width="13.42578125" style="27" customWidth="1"/>
    <col min="4851" max="4852" width="8.85546875" style="27"/>
    <col min="4853" max="4853" width="13.5703125" style="27" customWidth="1"/>
    <col min="4854" max="4854" width="34.28515625" style="27" customWidth="1"/>
    <col min="4855" max="4856" width="16.28515625" style="27" customWidth="1"/>
    <col min="4857" max="4857" width="11" style="27" customWidth="1"/>
    <col min="4858" max="4858" width="14.5703125" style="27" customWidth="1"/>
    <col min="4859" max="4859" width="3.140625" style="27" customWidth="1"/>
    <col min="4860" max="4865" width="9.5703125" style="27" customWidth="1"/>
    <col min="4866" max="4866" width="3.42578125" style="27" customWidth="1"/>
    <col min="4867" max="4867" width="9.7109375" style="27" customWidth="1"/>
    <col min="4868" max="4868" width="10.28515625" style="27" customWidth="1"/>
    <col min="4869" max="4869" width="9.7109375" style="27" customWidth="1"/>
    <col min="4870" max="4870" width="10.140625" style="27" customWidth="1"/>
    <col min="4871" max="4871" width="9.7109375" style="27" customWidth="1"/>
    <col min="4872" max="4872" width="10.28515625" style="27" customWidth="1"/>
    <col min="4873" max="4873" width="2.85546875" style="27" customWidth="1"/>
    <col min="4874" max="4879" width="8.5703125" style="27" customWidth="1"/>
    <col min="4880" max="4880" width="3.5703125" style="27" customWidth="1"/>
    <col min="4881" max="4881" width="9" style="27" customWidth="1"/>
    <col min="4882" max="4882" width="10.28515625" style="27" customWidth="1"/>
    <col min="4883" max="4883" width="9" style="27" customWidth="1"/>
    <col min="4884" max="4884" width="10.5703125" style="27" customWidth="1"/>
    <col min="4885" max="4885" width="9.140625" style="27" customWidth="1"/>
    <col min="4886" max="4886" width="10.5703125" style="27" customWidth="1"/>
    <col min="4887" max="4887" width="8.85546875" style="27"/>
    <col min="4888" max="4888" width="11.7109375" style="27" customWidth="1"/>
    <col min="4889" max="5100" width="8.85546875" style="27"/>
    <col min="5101" max="5101" width="42.140625" style="27" customWidth="1"/>
    <col min="5102" max="5102" width="18.7109375" style="27" customWidth="1"/>
    <col min="5103" max="5103" width="19.140625" style="27" customWidth="1"/>
    <col min="5104" max="5104" width="11.7109375" style="27" customWidth="1"/>
    <col min="5105" max="5105" width="8.85546875" style="27"/>
    <col min="5106" max="5106" width="13.42578125" style="27" customWidth="1"/>
    <col min="5107" max="5108" width="8.85546875" style="27"/>
    <col min="5109" max="5109" width="13.5703125" style="27" customWidth="1"/>
    <col min="5110" max="5110" width="34.28515625" style="27" customWidth="1"/>
    <col min="5111" max="5112" width="16.28515625" style="27" customWidth="1"/>
    <col min="5113" max="5113" width="11" style="27" customWidth="1"/>
    <col min="5114" max="5114" width="14.5703125" style="27" customWidth="1"/>
    <col min="5115" max="5115" width="3.140625" style="27" customWidth="1"/>
    <col min="5116" max="5121" width="9.5703125" style="27" customWidth="1"/>
    <col min="5122" max="5122" width="3.42578125" style="27" customWidth="1"/>
    <col min="5123" max="5123" width="9.7109375" style="27" customWidth="1"/>
    <col min="5124" max="5124" width="10.28515625" style="27" customWidth="1"/>
    <col min="5125" max="5125" width="9.7109375" style="27" customWidth="1"/>
    <col min="5126" max="5126" width="10.140625" style="27" customWidth="1"/>
    <col min="5127" max="5127" width="9.7109375" style="27" customWidth="1"/>
    <col min="5128" max="5128" width="10.28515625" style="27" customWidth="1"/>
    <col min="5129" max="5129" width="2.85546875" style="27" customWidth="1"/>
    <col min="5130" max="5135" width="8.5703125" style="27" customWidth="1"/>
    <col min="5136" max="5136" width="3.5703125" style="27" customWidth="1"/>
    <col min="5137" max="5137" width="9" style="27" customWidth="1"/>
    <col min="5138" max="5138" width="10.28515625" style="27" customWidth="1"/>
    <col min="5139" max="5139" width="9" style="27" customWidth="1"/>
    <col min="5140" max="5140" width="10.5703125" style="27" customWidth="1"/>
    <col min="5141" max="5141" width="9.140625" style="27" customWidth="1"/>
    <col min="5142" max="5142" width="10.5703125" style="27" customWidth="1"/>
    <col min="5143" max="5143" width="8.85546875" style="27"/>
    <col min="5144" max="5144" width="11.7109375" style="27" customWidth="1"/>
    <col min="5145" max="5356" width="8.85546875" style="27"/>
    <col min="5357" max="5357" width="42.140625" style="27" customWidth="1"/>
    <col min="5358" max="5358" width="18.7109375" style="27" customWidth="1"/>
    <col min="5359" max="5359" width="19.140625" style="27" customWidth="1"/>
    <col min="5360" max="5360" width="11.7109375" style="27" customWidth="1"/>
    <col min="5361" max="5361" width="8.85546875" style="27"/>
    <col min="5362" max="5362" width="13.42578125" style="27" customWidth="1"/>
    <col min="5363" max="5364" width="8.85546875" style="27"/>
    <col min="5365" max="5365" width="13.5703125" style="27" customWidth="1"/>
    <col min="5366" max="5366" width="34.28515625" style="27" customWidth="1"/>
    <col min="5367" max="5368" width="16.28515625" style="27" customWidth="1"/>
    <col min="5369" max="5369" width="11" style="27" customWidth="1"/>
    <col min="5370" max="5370" width="14.5703125" style="27" customWidth="1"/>
    <col min="5371" max="5371" width="3.140625" style="27" customWidth="1"/>
    <col min="5372" max="5377" width="9.5703125" style="27" customWidth="1"/>
    <col min="5378" max="5378" width="3.42578125" style="27" customWidth="1"/>
    <col min="5379" max="5379" width="9.7109375" style="27" customWidth="1"/>
    <col min="5380" max="5380" width="10.28515625" style="27" customWidth="1"/>
    <col min="5381" max="5381" width="9.7109375" style="27" customWidth="1"/>
    <col min="5382" max="5382" width="10.140625" style="27" customWidth="1"/>
    <col min="5383" max="5383" width="9.7109375" style="27" customWidth="1"/>
    <col min="5384" max="5384" width="10.28515625" style="27" customWidth="1"/>
    <col min="5385" max="5385" width="2.85546875" style="27" customWidth="1"/>
    <col min="5386" max="5391" width="8.5703125" style="27" customWidth="1"/>
    <col min="5392" max="5392" width="3.5703125" style="27" customWidth="1"/>
    <col min="5393" max="5393" width="9" style="27" customWidth="1"/>
    <col min="5394" max="5394" width="10.28515625" style="27" customWidth="1"/>
    <col min="5395" max="5395" width="9" style="27" customWidth="1"/>
    <col min="5396" max="5396" width="10.5703125" style="27" customWidth="1"/>
    <col min="5397" max="5397" width="9.140625" style="27" customWidth="1"/>
    <col min="5398" max="5398" width="10.5703125" style="27" customWidth="1"/>
    <col min="5399" max="5399" width="8.85546875" style="27"/>
    <col min="5400" max="5400" width="11.7109375" style="27" customWidth="1"/>
    <col min="5401" max="5612" width="8.85546875" style="27"/>
    <col min="5613" max="5613" width="42.140625" style="27" customWidth="1"/>
    <col min="5614" max="5614" width="18.7109375" style="27" customWidth="1"/>
    <col min="5615" max="5615" width="19.140625" style="27" customWidth="1"/>
    <col min="5616" max="5616" width="11.7109375" style="27" customWidth="1"/>
    <col min="5617" max="5617" width="8.85546875" style="27"/>
    <col min="5618" max="5618" width="13.42578125" style="27" customWidth="1"/>
    <col min="5619" max="5620" width="8.85546875" style="27"/>
    <col min="5621" max="5621" width="13.5703125" style="27" customWidth="1"/>
    <col min="5622" max="5622" width="34.28515625" style="27" customWidth="1"/>
    <col min="5623" max="5624" width="16.28515625" style="27" customWidth="1"/>
    <col min="5625" max="5625" width="11" style="27" customWidth="1"/>
    <col min="5626" max="5626" width="14.5703125" style="27" customWidth="1"/>
    <col min="5627" max="5627" width="3.140625" style="27" customWidth="1"/>
    <col min="5628" max="5633" width="9.5703125" style="27" customWidth="1"/>
    <col min="5634" max="5634" width="3.42578125" style="27" customWidth="1"/>
    <col min="5635" max="5635" width="9.7109375" style="27" customWidth="1"/>
    <col min="5636" max="5636" width="10.28515625" style="27" customWidth="1"/>
    <col min="5637" max="5637" width="9.7109375" style="27" customWidth="1"/>
    <col min="5638" max="5638" width="10.140625" style="27" customWidth="1"/>
    <col min="5639" max="5639" width="9.7109375" style="27" customWidth="1"/>
    <col min="5640" max="5640" width="10.28515625" style="27" customWidth="1"/>
    <col min="5641" max="5641" width="2.85546875" style="27" customWidth="1"/>
    <col min="5642" max="5647" width="8.5703125" style="27" customWidth="1"/>
    <col min="5648" max="5648" width="3.5703125" style="27" customWidth="1"/>
    <col min="5649" max="5649" width="9" style="27" customWidth="1"/>
    <col min="5650" max="5650" width="10.28515625" style="27" customWidth="1"/>
    <col min="5651" max="5651" width="9" style="27" customWidth="1"/>
    <col min="5652" max="5652" width="10.5703125" style="27" customWidth="1"/>
    <col min="5653" max="5653" width="9.140625" style="27" customWidth="1"/>
    <col min="5654" max="5654" width="10.5703125" style="27" customWidth="1"/>
    <col min="5655" max="5655" width="8.85546875" style="27"/>
    <col min="5656" max="5656" width="11.7109375" style="27" customWidth="1"/>
    <col min="5657" max="5868" width="8.85546875" style="27"/>
    <col min="5869" max="5869" width="42.140625" style="27" customWidth="1"/>
    <col min="5870" max="5870" width="18.7109375" style="27" customWidth="1"/>
    <col min="5871" max="5871" width="19.140625" style="27" customWidth="1"/>
    <col min="5872" max="5872" width="11.7109375" style="27" customWidth="1"/>
    <col min="5873" max="5873" width="8.85546875" style="27"/>
    <col min="5874" max="5874" width="13.42578125" style="27" customWidth="1"/>
    <col min="5875" max="5876" width="8.85546875" style="27"/>
    <col min="5877" max="5877" width="13.5703125" style="27" customWidth="1"/>
    <col min="5878" max="5878" width="34.28515625" style="27" customWidth="1"/>
    <col min="5879" max="5880" width="16.28515625" style="27" customWidth="1"/>
    <col min="5881" max="5881" width="11" style="27" customWidth="1"/>
    <col min="5882" max="5882" width="14.5703125" style="27" customWidth="1"/>
    <col min="5883" max="5883" width="3.140625" style="27" customWidth="1"/>
    <col min="5884" max="5889" width="9.5703125" style="27" customWidth="1"/>
    <col min="5890" max="5890" width="3.42578125" style="27" customWidth="1"/>
    <col min="5891" max="5891" width="9.7109375" style="27" customWidth="1"/>
    <col min="5892" max="5892" width="10.28515625" style="27" customWidth="1"/>
    <col min="5893" max="5893" width="9.7109375" style="27" customWidth="1"/>
    <col min="5894" max="5894" width="10.140625" style="27" customWidth="1"/>
    <col min="5895" max="5895" width="9.7109375" style="27" customWidth="1"/>
    <col min="5896" max="5896" width="10.28515625" style="27" customWidth="1"/>
    <col min="5897" max="5897" width="2.85546875" style="27" customWidth="1"/>
    <col min="5898" max="5903" width="8.5703125" style="27" customWidth="1"/>
    <col min="5904" max="5904" width="3.5703125" style="27" customWidth="1"/>
    <col min="5905" max="5905" width="9" style="27" customWidth="1"/>
    <col min="5906" max="5906" width="10.28515625" style="27" customWidth="1"/>
    <col min="5907" max="5907" width="9" style="27" customWidth="1"/>
    <col min="5908" max="5908" width="10.5703125" style="27" customWidth="1"/>
    <col min="5909" max="5909" width="9.140625" style="27" customWidth="1"/>
    <col min="5910" max="5910" width="10.5703125" style="27" customWidth="1"/>
    <col min="5911" max="5911" width="8.85546875" style="27"/>
    <col min="5912" max="5912" width="11.7109375" style="27" customWidth="1"/>
    <col min="5913" max="6124" width="8.85546875" style="27"/>
    <col min="6125" max="6125" width="42.140625" style="27" customWidth="1"/>
    <col min="6126" max="6126" width="18.7109375" style="27" customWidth="1"/>
    <col min="6127" max="6127" width="19.140625" style="27" customWidth="1"/>
    <col min="6128" max="6128" width="11.7109375" style="27" customWidth="1"/>
    <col min="6129" max="6129" width="8.85546875" style="27"/>
    <col min="6130" max="6130" width="13.42578125" style="27" customWidth="1"/>
    <col min="6131" max="6132" width="8.85546875" style="27"/>
    <col min="6133" max="6133" width="13.5703125" style="27" customWidth="1"/>
    <col min="6134" max="6134" width="34.28515625" style="27" customWidth="1"/>
    <col min="6135" max="6136" width="16.28515625" style="27" customWidth="1"/>
    <col min="6137" max="6137" width="11" style="27" customWidth="1"/>
    <col min="6138" max="6138" width="14.5703125" style="27" customWidth="1"/>
    <col min="6139" max="6139" width="3.140625" style="27" customWidth="1"/>
    <col min="6140" max="6145" width="9.5703125" style="27" customWidth="1"/>
    <col min="6146" max="6146" width="3.42578125" style="27" customWidth="1"/>
    <col min="6147" max="6147" width="9.7109375" style="27" customWidth="1"/>
    <col min="6148" max="6148" width="10.28515625" style="27" customWidth="1"/>
    <col min="6149" max="6149" width="9.7109375" style="27" customWidth="1"/>
    <col min="6150" max="6150" width="10.140625" style="27" customWidth="1"/>
    <col min="6151" max="6151" width="9.7109375" style="27" customWidth="1"/>
    <col min="6152" max="6152" width="10.28515625" style="27" customWidth="1"/>
    <col min="6153" max="6153" width="2.85546875" style="27" customWidth="1"/>
    <col min="6154" max="6159" width="8.5703125" style="27" customWidth="1"/>
    <col min="6160" max="6160" width="3.5703125" style="27" customWidth="1"/>
    <col min="6161" max="6161" width="9" style="27" customWidth="1"/>
    <col min="6162" max="6162" width="10.28515625" style="27" customWidth="1"/>
    <col min="6163" max="6163" width="9" style="27" customWidth="1"/>
    <col min="6164" max="6164" width="10.5703125" style="27" customWidth="1"/>
    <col min="6165" max="6165" width="9.140625" style="27" customWidth="1"/>
    <col min="6166" max="6166" width="10.5703125" style="27" customWidth="1"/>
    <col min="6167" max="6167" width="8.85546875" style="27"/>
    <col min="6168" max="6168" width="11.7109375" style="27" customWidth="1"/>
    <col min="6169" max="6380" width="8.85546875" style="27"/>
    <col min="6381" max="6381" width="42.140625" style="27" customWidth="1"/>
    <col min="6382" max="6382" width="18.7109375" style="27" customWidth="1"/>
    <col min="6383" max="6383" width="19.140625" style="27" customWidth="1"/>
    <col min="6384" max="6384" width="11.7109375" style="27" customWidth="1"/>
    <col min="6385" max="6385" width="8.85546875" style="27"/>
    <col min="6386" max="6386" width="13.42578125" style="27" customWidth="1"/>
    <col min="6387" max="6388" width="8.85546875" style="27"/>
    <col min="6389" max="6389" width="13.5703125" style="27" customWidth="1"/>
    <col min="6390" max="6390" width="34.28515625" style="27" customWidth="1"/>
    <col min="6391" max="6392" width="16.28515625" style="27" customWidth="1"/>
    <col min="6393" max="6393" width="11" style="27" customWidth="1"/>
    <col min="6394" max="6394" width="14.5703125" style="27" customWidth="1"/>
    <col min="6395" max="6395" width="3.140625" style="27" customWidth="1"/>
    <col min="6396" max="6401" width="9.5703125" style="27" customWidth="1"/>
    <col min="6402" max="6402" width="3.42578125" style="27" customWidth="1"/>
    <col min="6403" max="6403" width="9.7109375" style="27" customWidth="1"/>
    <col min="6404" max="6404" width="10.28515625" style="27" customWidth="1"/>
    <col min="6405" max="6405" width="9.7109375" style="27" customWidth="1"/>
    <col min="6406" max="6406" width="10.140625" style="27" customWidth="1"/>
    <col min="6407" max="6407" width="9.7109375" style="27" customWidth="1"/>
    <col min="6408" max="6408" width="10.28515625" style="27" customWidth="1"/>
    <col min="6409" max="6409" width="2.85546875" style="27" customWidth="1"/>
    <col min="6410" max="6415" width="8.5703125" style="27" customWidth="1"/>
    <col min="6416" max="6416" width="3.5703125" style="27" customWidth="1"/>
    <col min="6417" max="6417" width="9" style="27" customWidth="1"/>
    <col min="6418" max="6418" width="10.28515625" style="27" customWidth="1"/>
    <col min="6419" max="6419" width="9" style="27" customWidth="1"/>
    <col min="6420" max="6420" width="10.5703125" style="27" customWidth="1"/>
    <col min="6421" max="6421" width="9.140625" style="27" customWidth="1"/>
    <col min="6422" max="6422" width="10.5703125" style="27" customWidth="1"/>
    <col min="6423" max="6423" width="8.85546875" style="27"/>
    <col min="6424" max="6424" width="11.7109375" style="27" customWidth="1"/>
    <col min="6425" max="6636" width="8.85546875" style="27"/>
    <col min="6637" max="6637" width="42.140625" style="27" customWidth="1"/>
    <col min="6638" max="6638" width="18.7109375" style="27" customWidth="1"/>
    <col min="6639" max="6639" width="19.140625" style="27" customWidth="1"/>
    <col min="6640" max="6640" width="11.7109375" style="27" customWidth="1"/>
    <col min="6641" max="6641" width="8.85546875" style="27"/>
    <col min="6642" max="6642" width="13.42578125" style="27" customWidth="1"/>
    <col min="6643" max="6644" width="8.85546875" style="27"/>
    <col min="6645" max="6645" width="13.5703125" style="27" customWidth="1"/>
    <col min="6646" max="6646" width="34.28515625" style="27" customWidth="1"/>
    <col min="6647" max="6648" width="16.28515625" style="27" customWidth="1"/>
    <col min="6649" max="6649" width="11" style="27" customWidth="1"/>
    <col min="6650" max="6650" width="14.5703125" style="27" customWidth="1"/>
    <col min="6651" max="6651" width="3.140625" style="27" customWidth="1"/>
    <col min="6652" max="6657" width="9.5703125" style="27" customWidth="1"/>
    <col min="6658" max="6658" width="3.42578125" style="27" customWidth="1"/>
    <col min="6659" max="6659" width="9.7109375" style="27" customWidth="1"/>
    <col min="6660" max="6660" width="10.28515625" style="27" customWidth="1"/>
    <col min="6661" max="6661" width="9.7109375" style="27" customWidth="1"/>
    <col min="6662" max="6662" width="10.140625" style="27" customWidth="1"/>
    <col min="6663" max="6663" width="9.7109375" style="27" customWidth="1"/>
    <col min="6664" max="6664" width="10.28515625" style="27" customWidth="1"/>
    <col min="6665" max="6665" width="2.85546875" style="27" customWidth="1"/>
    <col min="6666" max="6671" width="8.5703125" style="27" customWidth="1"/>
    <col min="6672" max="6672" width="3.5703125" style="27" customWidth="1"/>
    <col min="6673" max="6673" width="9" style="27" customWidth="1"/>
    <col min="6674" max="6674" width="10.28515625" style="27" customWidth="1"/>
    <col min="6675" max="6675" width="9" style="27" customWidth="1"/>
    <col min="6676" max="6676" width="10.5703125" style="27" customWidth="1"/>
    <col min="6677" max="6677" width="9.140625" style="27" customWidth="1"/>
    <col min="6678" max="6678" width="10.5703125" style="27" customWidth="1"/>
    <col min="6679" max="6679" width="8.85546875" style="27"/>
    <col min="6680" max="6680" width="11.7109375" style="27" customWidth="1"/>
    <col min="6681" max="6892" width="8.85546875" style="27"/>
    <col min="6893" max="6893" width="42.140625" style="27" customWidth="1"/>
    <col min="6894" max="6894" width="18.7109375" style="27" customWidth="1"/>
    <col min="6895" max="6895" width="19.140625" style="27" customWidth="1"/>
    <col min="6896" max="6896" width="11.7109375" style="27" customWidth="1"/>
    <col min="6897" max="6897" width="8.85546875" style="27"/>
    <col min="6898" max="6898" width="13.42578125" style="27" customWidth="1"/>
    <col min="6899" max="6900" width="8.85546875" style="27"/>
    <col min="6901" max="6901" width="13.5703125" style="27" customWidth="1"/>
    <col min="6902" max="6902" width="34.28515625" style="27" customWidth="1"/>
    <col min="6903" max="6904" width="16.28515625" style="27" customWidth="1"/>
    <col min="6905" max="6905" width="11" style="27" customWidth="1"/>
    <col min="6906" max="6906" width="14.5703125" style="27" customWidth="1"/>
    <col min="6907" max="6907" width="3.140625" style="27" customWidth="1"/>
    <col min="6908" max="6913" width="9.5703125" style="27" customWidth="1"/>
    <col min="6914" max="6914" width="3.42578125" style="27" customWidth="1"/>
    <col min="6915" max="6915" width="9.7109375" style="27" customWidth="1"/>
    <col min="6916" max="6916" width="10.28515625" style="27" customWidth="1"/>
    <col min="6917" max="6917" width="9.7109375" style="27" customWidth="1"/>
    <col min="6918" max="6918" width="10.140625" style="27" customWidth="1"/>
    <col min="6919" max="6919" width="9.7109375" style="27" customWidth="1"/>
    <col min="6920" max="6920" width="10.28515625" style="27" customWidth="1"/>
    <col min="6921" max="6921" width="2.85546875" style="27" customWidth="1"/>
    <col min="6922" max="6927" width="8.5703125" style="27" customWidth="1"/>
    <col min="6928" max="6928" width="3.5703125" style="27" customWidth="1"/>
    <col min="6929" max="6929" width="9" style="27" customWidth="1"/>
    <col min="6930" max="6930" width="10.28515625" style="27" customWidth="1"/>
    <col min="6931" max="6931" width="9" style="27" customWidth="1"/>
    <col min="6932" max="6932" width="10.5703125" style="27" customWidth="1"/>
    <col min="6933" max="6933" width="9.140625" style="27" customWidth="1"/>
    <col min="6934" max="6934" width="10.5703125" style="27" customWidth="1"/>
    <col min="6935" max="6935" width="8.85546875" style="27"/>
    <col min="6936" max="6936" width="11.7109375" style="27" customWidth="1"/>
    <col min="6937" max="7148" width="8.85546875" style="27"/>
    <col min="7149" max="7149" width="42.140625" style="27" customWidth="1"/>
    <col min="7150" max="7150" width="18.7109375" style="27" customWidth="1"/>
    <col min="7151" max="7151" width="19.140625" style="27" customWidth="1"/>
    <col min="7152" max="7152" width="11.7109375" style="27" customWidth="1"/>
    <col min="7153" max="7153" width="8.85546875" style="27"/>
    <col min="7154" max="7154" width="13.42578125" style="27" customWidth="1"/>
    <col min="7155" max="7156" width="8.85546875" style="27"/>
    <col min="7157" max="7157" width="13.5703125" style="27" customWidth="1"/>
    <col min="7158" max="7158" width="34.28515625" style="27" customWidth="1"/>
    <col min="7159" max="7160" width="16.28515625" style="27" customWidth="1"/>
    <col min="7161" max="7161" width="11" style="27" customWidth="1"/>
    <col min="7162" max="7162" width="14.5703125" style="27" customWidth="1"/>
    <col min="7163" max="7163" width="3.140625" style="27" customWidth="1"/>
    <col min="7164" max="7169" width="9.5703125" style="27" customWidth="1"/>
    <col min="7170" max="7170" width="3.42578125" style="27" customWidth="1"/>
    <col min="7171" max="7171" width="9.7109375" style="27" customWidth="1"/>
    <col min="7172" max="7172" width="10.28515625" style="27" customWidth="1"/>
    <col min="7173" max="7173" width="9.7109375" style="27" customWidth="1"/>
    <col min="7174" max="7174" width="10.140625" style="27" customWidth="1"/>
    <col min="7175" max="7175" width="9.7109375" style="27" customWidth="1"/>
    <col min="7176" max="7176" width="10.28515625" style="27" customWidth="1"/>
    <col min="7177" max="7177" width="2.85546875" style="27" customWidth="1"/>
    <col min="7178" max="7183" width="8.5703125" style="27" customWidth="1"/>
    <col min="7184" max="7184" width="3.5703125" style="27" customWidth="1"/>
    <col min="7185" max="7185" width="9" style="27" customWidth="1"/>
    <col min="7186" max="7186" width="10.28515625" style="27" customWidth="1"/>
    <col min="7187" max="7187" width="9" style="27" customWidth="1"/>
    <col min="7188" max="7188" width="10.5703125" style="27" customWidth="1"/>
    <col min="7189" max="7189" width="9.140625" style="27" customWidth="1"/>
    <col min="7190" max="7190" width="10.5703125" style="27" customWidth="1"/>
    <col min="7191" max="7191" width="8.85546875" style="27"/>
    <col min="7192" max="7192" width="11.7109375" style="27" customWidth="1"/>
    <col min="7193" max="7404" width="8.85546875" style="27"/>
    <col min="7405" max="7405" width="42.140625" style="27" customWidth="1"/>
    <col min="7406" max="7406" width="18.7109375" style="27" customWidth="1"/>
    <col min="7407" max="7407" width="19.140625" style="27" customWidth="1"/>
    <col min="7408" max="7408" width="11.7109375" style="27" customWidth="1"/>
    <col min="7409" max="7409" width="8.85546875" style="27"/>
    <col min="7410" max="7410" width="13.42578125" style="27" customWidth="1"/>
    <col min="7411" max="7412" width="8.85546875" style="27"/>
    <col min="7413" max="7413" width="13.5703125" style="27" customWidth="1"/>
    <col min="7414" max="7414" width="34.28515625" style="27" customWidth="1"/>
    <col min="7415" max="7416" width="16.28515625" style="27" customWidth="1"/>
    <col min="7417" max="7417" width="11" style="27" customWidth="1"/>
    <col min="7418" max="7418" width="14.5703125" style="27" customWidth="1"/>
    <col min="7419" max="7419" width="3.140625" style="27" customWidth="1"/>
    <col min="7420" max="7425" width="9.5703125" style="27" customWidth="1"/>
    <col min="7426" max="7426" width="3.42578125" style="27" customWidth="1"/>
    <col min="7427" max="7427" width="9.7109375" style="27" customWidth="1"/>
    <col min="7428" max="7428" width="10.28515625" style="27" customWidth="1"/>
    <col min="7429" max="7429" width="9.7109375" style="27" customWidth="1"/>
    <col min="7430" max="7430" width="10.140625" style="27" customWidth="1"/>
    <col min="7431" max="7431" width="9.7109375" style="27" customWidth="1"/>
    <col min="7432" max="7432" width="10.28515625" style="27" customWidth="1"/>
    <col min="7433" max="7433" width="2.85546875" style="27" customWidth="1"/>
    <col min="7434" max="7439" width="8.5703125" style="27" customWidth="1"/>
    <col min="7440" max="7440" width="3.5703125" style="27" customWidth="1"/>
    <col min="7441" max="7441" width="9" style="27" customWidth="1"/>
    <col min="7442" max="7442" width="10.28515625" style="27" customWidth="1"/>
    <col min="7443" max="7443" width="9" style="27" customWidth="1"/>
    <col min="7444" max="7444" width="10.5703125" style="27" customWidth="1"/>
    <col min="7445" max="7445" width="9.140625" style="27" customWidth="1"/>
    <col min="7446" max="7446" width="10.5703125" style="27" customWidth="1"/>
    <col min="7447" max="7447" width="8.85546875" style="27"/>
    <col min="7448" max="7448" width="11.7109375" style="27" customWidth="1"/>
    <col min="7449" max="7660" width="8.85546875" style="27"/>
    <col min="7661" max="7661" width="42.140625" style="27" customWidth="1"/>
    <col min="7662" max="7662" width="18.7109375" style="27" customWidth="1"/>
    <col min="7663" max="7663" width="19.140625" style="27" customWidth="1"/>
    <col min="7664" max="7664" width="11.7109375" style="27" customWidth="1"/>
    <col min="7665" max="7665" width="8.85546875" style="27"/>
    <col min="7666" max="7666" width="13.42578125" style="27" customWidth="1"/>
    <col min="7667" max="7668" width="8.85546875" style="27"/>
    <col min="7669" max="7669" width="13.5703125" style="27" customWidth="1"/>
    <col min="7670" max="7670" width="34.28515625" style="27" customWidth="1"/>
    <col min="7671" max="7672" width="16.28515625" style="27" customWidth="1"/>
    <col min="7673" max="7673" width="11" style="27" customWidth="1"/>
    <col min="7674" max="7674" width="14.5703125" style="27" customWidth="1"/>
    <col min="7675" max="7675" width="3.140625" style="27" customWidth="1"/>
    <col min="7676" max="7681" width="9.5703125" style="27" customWidth="1"/>
    <col min="7682" max="7682" width="3.42578125" style="27" customWidth="1"/>
    <col min="7683" max="7683" width="9.7109375" style="27" customWidth="1"/>
    <col min="7684" max="7684" width="10.28515625" style="27" customWidth="1"/>
    <col min="7685" max="7685" width="9.7109375" style="27" customWidth="1"/>
    <col min="7686" max="7686" width="10.140625" style="27" customWidth="1"/>
    <col min="7687" max="7687" width="9.7109375" style="27" customWidth="1"/>
    <col min="7688" max="7688" width="10.28515625" style="27" customWidth="1"/>
    <col min="7689" max="7689" width="2.85546875" style="27" customWidth="1"/>
    <col min="7690" max="7695" width="8.5703125" style="27" customWidth="1"/>
    <col min="7696" max="7696" width="3.5703125" style="27" customWidth="1"/>
    <col min="7697" max="7697" width="9" style="27" customWidth="1"/>
    <col min="7698" max="7698" width="10.28515625" style="27" customWidth="1"/>
    <col min="7699" max="7699" width="9" style="27" customWidth="1"/>
    <col min="7700" max="7700" width="10.5703125" style="27" customWidth="1"/>
    <col min="7701" max="7701" width="9.140625" style="27" customWidth="1"/>
    <col min="7702" max="7702" width="10.5703125" style="27" customWidth="1"/>
    <col min="7703" max="7703" width="8.85546875" style="27"/>
    <col min="7704" max="7704" width="11.7109375" style="27" customWidth="1"/>
    <col min="7705" max="7916" width="8.85546875" style="27"/>
    <col min="7917" max="7917" width="42.140625" style="27" customWidth="1"/>
    <col min="7918" max="7918" width="18.7109375" style="27" customWidth="1"/>
    <col min="7919" max="7919" width="19.140625" style="27" customWidth="1"/>
    <col min="7920" max="7920" width="11.7109375" style="27" customWidth="1"/>
    <col min="7921" max="7921" width="8.85546875" style="27"/>
    <col min="7922" max="7922" width="13.42578125" style="27" customWidth="1"/>
    <col min="7923" max="7924" width="8.85546875" style="27"/>
    <col min="7925" max="7925" width="13.5703125" style="27" customWidth="1"/>
    <col min="7926" max="7926" width="34.28515625" style="27" customWidth="1"/>
    <col min="7927" max="7928" width="16.28515625" style="27" customWidth="1"/>
    <col min="7929" max="7929" width="11" style="27" customWidth="1"/>
    <col min="7930" max="7930" width="14.5703125" style="27" customWidth="1"/>
    <col min="7931" max="7931" width="3.140625" style="27" customWidth="1"/>
    <col min="7932" max="7937" width="9.5703125" style="27" customWidth="1"/>
    <col min="7938" max="7938" width="3.42578125" style="27" customWidth="1"/>
    <col min="7939" max="7939" width="9.7109375" style="27" customWidth="1"/>
    <col min="7940" max="7940" width="10.28515625" style="27" customWidth="1"/>
    <col min="7941" max="7941" width="9.7109375" style="27" customWidth="1"/>
    <col min="7942" max="7942" width="10.140625" style="27" customWidth="1"/>
    <col min="7943" max="7943" width="9.7109375" style="27" customWidth="1"/>
    <col min="7944" max="7944" width="10.28515625" style="27" customWidth="1"/>
    <col min="7945" max="7945" width="2.85546875" style="27" customWidth="1"/>
    <col min="7946" max="7951" width="8.5703125" style="27" customWidth="1"/>
    <col min="7952" max="7952" width="3.5703125" style="27" customWidth="1"/>
    <col min="7953" max="7953" width="9" style="27" customWidth="1"/>
    <col min="7954" max="7954" width="10.28515625" style="27" customWidth="1"/>
    <col min="7955" max="7955" width="9" style="27" customWidth="1"/>
    <col min="7956" max="7956" width="10.5703125" style="27" customWidth="1"/>
    <col min="7957" max="7957" width="9.140625" style="27" customWidth="1"/>
    <col min="7958" max="7958" width="10.5703125" style="27" customWidth="1"/>
    <col min="7959" max="7959" width="8.85546875" style="27"/>
    <col min="7960" max="7960" width="11.7109375" style="27" customWidth="1"/>
    <col min="7961" max="8172" width="8.85546875" style="27"/>
    <col min="8173" max="8173" width="42.140625" style="27" customWidth="1"/>
    <col min="8174" max="8174" width="18.7109375" style="27" customWidth="1"/>
    <col min="8175" max="8175" width="19.140625" style="27" customWidth="1"/>
    <col min="8176" max="8176" width="11.7109375" style="27" customWidth="1"/>
    <col min="8177" max="8177" width="8.85546875" style="27"/>
    <col min="8178" max="8178" width="13.42578125" style="27" customWidth="1"/>
    <col min="8179" max="8180" width="8.85546875" style="27"/>
    <col min="8181" max="8181" width="13.5703125" style="27" customWidth="1"/>
    <col min="8182" max="8182" width="34.28515625" style="27" customWidth="1"/>
    <col min="8183" max="8184" width="16.28515625" style="27" customWidth="1"/>
    <col min="8185" max="8185" width="11" style="27" customWidth="1"/>
    <col min="8186" max="8186" width="14.5703125" style="27" customWidth="1"/>
    <col min="8187" max="8187" width="3.140625" style="27" customWidth="1"/>
    <col min="8188" max="8193" width="9.5703125" style="27" customWidth="1"/>
    <col min="8194" max="8194" width="3.42578125" style="27" customWidth="1"/>
    <col min="8195" max="8195" width="9.7109375" style="27" customWidth="1"/>
    <col min="8196" max="8196" width="10.28515625" style="27" customWidth="1"/>
    <col min="8197" max="8197" width="9.7109375" style="27" customWidth="1"/>
    <col min="8198" max="8198" width="10.140625" style="27" customWidth="1"/>
    <col min="8199" max="8199" width="9.7109375" style="27" customWidth="1"/>
    <col min="8200" max="8200" width="10.28515625" style="27" customWidth="1"/>
    <col min="8201" max="8201" width="2.85546875" style="27" customWidth="1"/>
    <col min="8202" max="8207" width="8.5703125" style="27" customWidth="1"/>
    <col min="8208" max="8208" width="3.5703125" style="27" customWidth="1"/>
    <col min="8209" max="8209" width="9" style="27" customWidth="1"/>
    <col min="8210" max="8210" width="10.28515625" style="27" customWidth="1"/>
    <col min="8211" max="8211" width="9" style="27" customWidth="1"/>
    <col min="8212" max="8212" width="10.5703125" style="27" customWidth="1"/>
    <col min="8213" max="8213" width="9.140625" style="27" customWidth="1"/>
    <col min="8214" max="8214" width="10.5703125" style="27" customWidth="1"/>
    <col min="8215" max="8215" width="8.85546875" style="27"/>
    <col min="8216" max="8216" width="11.7109375" style="27" customWidth="1"/>
    <col min="8217" max="8428" width="8.85546875" style="27"/>
    <col min="8429" max="8429" width="42.140625" style="27" customWidth="1"/>
    <col min="8430" max="8430" width="18.7109375" style="27" customWidth="1"/>
    <col min="8431" max="8431" width="19.140625" style="27" customWidth="1"/>
    <col min="8432" max="8432" width="11.7109375" style="27" customWidth="1"/>
    <col min="8433" max="8433" width="8.85546875" style="27"/>
    <col min="8434" max="8434" width="13.42578125" style="27" customWidth="1"/>
    <col min="8435" max="8436" width="8.85546875" style="27"/>
    <col min="8437" max="8437" width="13.5703125" style="27" customWidth="1"/>
    <col min="8438" max="8438" width="34.28515625" style="27" customWidth="1"/>
    <col min="8439" max="8440" width="16.28515625" style="27" customWidth="1"/>
    <col min="8441" max="8441" width="11" style="27" customWidth="1"/>
    <col min="8442" max="8442" width="14.5703125" style="27" customWidth="1"/>
    <col min="8443" max="8443" width="3.140625" style="27" customWidth="1"/>
    <col min="8444" max="8449" width="9.5703125" style="27" customWidth="1"/>
    <col min="8450" max="8450" width="3.42578125" style="27" customWidth="1"/>
    <col min="8451" max="8451" width="9.7109375" style="27" customWidth="1"/>
    <col min="8452" max="8452" width="10.28515625" style="27" customWidth="1"/>
    <col min="8453" max="8453" width="9.7109375" style="27" customWidth="1"/>
    <col min="8454" max="8454" width="10.140625" style="27" customWidth="1"/>
    <col min="8455" max="8455" width="9.7109375" style="27" customWidth="1"/>
    <col min="8456" max="8456" width="10.28515625" style="27" customWidth="1"/>
    <col min="8457" max="8457" width="2.85546875" style="27" customWidth="1"/>
    <col min="8458" max="8463" width="8.5703125" style="27" customWidth="1"/>
    <col min="8464" max="8464" width="3.5703125" style="27" customWidth="1"/>
    <col min="8465" max="8465" width="9" style="27" customWidth="1"/>
    <col min="8466" max="8466" width="10.28515625" style="27" customWidth="1"/>
    <col min="8467" max="8467" width="9" style="27" customWidth="1"/>
    <col min="8468" max="8468" width="10.5703125" style="27" customWidth="1"/>
    <col min="8469" max="8469" width="9.140625" style="27" customWidth="1"/>
    <col min="8470" max="8470" width="10.5703125" style="27" customWidth="1"/>
    <col min="8471" max="8471" width="8.85546875" style="27"/>
    <col min="8472" max="8472" width="11.7109375" style="27" customWidth="1"/>
    <col min="8473" max="8684" width="8.85546875" style="27"/>
    <col min="8685" max="8685" width="42.140625" style="27" customWidth="1"/>
    <col min="8686" max="8686" width="18.7109375" style="27" customWidth="1"/>
    <col min="8687" max="8687" width="19.140625" style="27" customWidth="1"/>
    <col min="8688" max="8688" width="11.7109375" style="27" customWidth="1"/>
    <col min="8689" max="8689" width="8.85546875" style="27"/>
    <col min="8690" max="8690" width="13.42578125" style="27" customWidth="1"/>
    <col min="8691" max="8692" width="8.85546875" style="27"/>
    <col min="8693" max="8693" width="13.5703125" style="27" customWidth="1"/>
    <col min="8694" max="8694" width="34.28515625" style="27" customWidth="1"/>
    <col min="8695" max="8696" width="16.28515625" style="27" customWidth="1"/>
    <col min="8697" max="8697" width="11" style="27" customWidth="1"/>
    <col min="8698" max="8698" width="14.5703125" style="27" customWidth="1"/>
    <col min="8699" max="8699" width="3.140625" style="27" customWidth="1"/>
    <col min="8700" max="8705" width="9.5703125" style="27" customWidth="1"/>
    <col min="8706" max="8706" width="3.42578125" style="27" customWidth="1"/>
    <col min="8707" max="8707" width="9.7109375" style="27" customWidth="1"/>
    <col min="8708" max="8708" width="10.28515625" style="27" customWidth="1"/>
    <col min="8709" max="8709" width="9.7109375" style="27" customWidth="1"/>
    <col min="8710" max="8710" width="10.140625" style="27" customWidth="1"/>
    <col min="8711" max="8711" width="9.7109375" style="27" customWidth="1"/>
    <col min="8712" max="8712" width="10.28515625" style="27" customWidth="1"/>
    <col min="8713" max="8713" width="2.85546875" style="27" customWidth="1"/>
    <col min="8714" max="8719" width="8.5703125" style="27" customWidth="1"/>
    <col min="8720" max="8720" width="3.5703125" style="27" customWidth="1"/>
    <col min="8721" max="8721" width="9" style="27" customWidth="1"/>
    <col min="8722" max="8722" width="10.28515625" style="27" customWidth="1"/>
    <col min="8723" max="8723" width="9" style="27" customWidth="1"/>
    <col min="8724" max="8724" width="10.5703125" style="27" customWidth="1"/>
    <col min="8725" max="8725" width="9.140625" style="27" customWidth="1"/>
    <col min="8726" max="8726" width="10.5703125" style="27" customWidth="1"/>
    <col min="8727" max="8727" width="8.85546875" style="27"/>
    <col min="8728" max="8728" width="11.7109375" style="27" customWidth="1"/>
    <col min="8729" max="8940" width="8.85546875" style="27"/>
    <col min="8941" max="8941" width="42.140625" style="27" customWidth="1"/>
    <col min="8942" max="8942" width="18.7109375" style="27" customWidth="1"/>
    <col min="8943" max="8943" width="19.140625" style="27" customWidth="1"/>
    <col min="8944" max="8944" width="11.7109375" style="27" customWidth="1"/>
    <col min="8945" max="8945" width="8.85546875" style="27"/>
    <col min="8946" max="8946" width="13.42578125" style="27" customWidth="1"/>
    <col min="8947" max="8948" width="8.85546875" style="27"/>
    <col min="8949" max="8949" width="13.5703125" style="27" customWidth="1"/>
    <col min="8950" max="8950" width="34.28515625" style="27" customWidth="1"/>
    <col min="8951" max="8952" width="16.28515625" style="27" customWidth="1"/>
    <col min="8953" max="8953" width="11" style="27" customWidth="1"/>
    <col min="8954" max="8954" width="14.5703125" style="27" customWidth="1"/>
    <col min="8955" max="8955" width="3.140625" style="27" customWidth="1"/>
    <col min="8956" max="8961" width="9.5703125" style="27" customWidth="1"/>
    <col min="8962" max="8962" width="3.42578125" style="27" customWidth="1"/>
    <col min="8963" max="8963" width="9.7109375" style="27" customWidth="1"/>
    <col min="8964" max="8964" width="10.28515625" style="27" customWidth="1"/>
    <col min="8965" max="8965" width="9.7109375" style="27" customWidth="1"/>
    <col min="8966" max="8966" width="10.140625" style="27" customWidth="1"/>
    <col min="8967" max="8967" width="9.7109375" style="27" customWidth="1"/>
    <col min="8968" max="8968" width="10.28515625" style="27" customWidth="1"/>
    <col min="8969" max="8969" width="2.85546875" style="27" customWidth="1"/>
    <col min="8970" max="8975" width="8.5703125" style="27" customWidth="1"/>
    <col min="8976" max="8976" width="3.5703125" style="27" customWidth="1"/>
    <col min="8977" max="8977" width="9" style="27" customWidth="1"/>
    <col min="8978" max="8978" width="10.28515625" style="27" customWidth="1"/>
    <col min="8979" max="8979" width="9" style="27" customWidth="1"/>
    <col min="8980" max="8980" width="10.5703125" style="27" customWidth="1"/>
    <col min="8981" max="8981" width="9.140625" style="27" customWidth="1"/>
    <col min="8982" max="8982" width="10.5703125" style="27" customWidth="1"/>
    <col min="8983" max="8983" width="8.85546875" style="27"/>
    <col min="8984" max="8984" width="11.7109375" style="27" customWidth="1"/>
    <col min="8985" max="9196" width="8.85546875" style="27"/>
    <col min="9197" max="9197" width="42.140625" style="27" customWidth="1"/>
    <col min="9198" max="9198" width="18.7109375" style="27" customWidth="1"/>
    <col min="9199" max="9199" width="19.140625" style="27" customWidth="1"/>
    <col min="9200" max="9200" width="11.7109375" style="27" customWidth="1"/>
    <col min="9201" max="9201" width="8.85546875" style="27"/>
    <col min="9202" max="9202" width="13.42578125" style="27" customWidth="1"/>
    <col min="9203" max="9204" width="8.85546875" style="27"/>
    <col min="9205" max="9205" width="13.5703125" style="27" customWidth="1"/>
    <col min="9206" max="9206" width="34.28515625" style="27" customWidth="1"/>
    <col min="9207" max="9208" width="16.28515625" style="27" customWidth="1"/>
    <col min="9209" max="9209" width="11" style="27" customWidth="1"/>
    <col min="9210" max="9210" width="14.5703125" style="27" customWidth="1"/>
    <col min="9211" max="9211" width="3.140625" style="27" customWidth="1"/>
    <col min="9212" max="9217" width="9.5703125" style="27" customWidth="1"/>
    <col min="9218" max="9218" width="3.42578125" style="27" customWidth="1"/>
    <col min="9219" max="9219" width="9.7109375" style="27" customWidth="1"/>
    <col min="9220" max="9220" width="10.28515625" style="27" customWidth="1"/>
    <col min="9221" max="9221" width="9.7109375" style="27" customWidth="1"/>
    <col min="9222" max="9222" width="10.140625" style="27" customWidth="1"/>
    <col min="9223" max="9223" width="9.7109375" style="27" customWidth="1"/>
    <col min="9224" max="9224" width="10.28515625" style="27" customWidth="1"/>
    <col min="9225" max="9225" width="2.85546875" style="27" customWidth="1"/>
    <col min="9226" max="9231" width="8.5703125" style="27" customWidth="1"/>
    <col min="9232" max="9232" width="3.5703125" style="27" customWidth="1"/>
    <col min="9233" max="9233" width="9" style="27" customWidth="1"/>
    <col min="9234" max="9234" width="10.28515625" style="27" customWidth="1"/>
    <col min="9235" max="9235" width="9" style="27" customWidth="1"/>
    <col min="9236" max="9236" width="10.5703125" style="27" customWidth="1"/>
    <col min="9237" max="9237" width="9.140625" style="27" customWidth="1"/>
    <col min="9238" max="9238" width="10.5703125" style="27" customWidth="1"/>
    <col min="9239" max="9239" width="8.85546875" style="27"/>
    <col min="9240" max="9240" width="11.7109375" style="27" customWidth="1"/>
    <col min="9241" max="9452" width="8.85546875" style="27"/>
    <col min="9453" max="9453" width="42.140625" style="27" customWidth="1"/>
    <col min="9454" max="9454" width="18.7109375" style="27" customWidth="1"/>
    <col min="9455" max="9455" width="19.140625" style="27" customWidth="1"/>
    <col min="9456" max="9456" width="11.7109375" style="27" customWidth="1"/>
    <col min="9457" max="9457" width="8.85546875" style="27"/>
    <col min="9458" max="9458" width="13.42578125" style="27" customWidth="1"/>
    <col min="9459" max="9460" width="8.85546875" style="27"/>
    <col min="9461" max="9461" width="13.5703125" style="27" customWidth="1"/>
    <col min="9462" max="9462" width="34.28515625" style="27" customWidth="1"/>
    <col min="9463" max="9464" width="16.28515625" style="27" customWidth="1"/>
    <col min="9465" max="9465" width="11" style="27" customWidth="1"/>
    <col min="9466" max="9466" width="14.5703125" style="27" customWidth="1"/>
    <col min="9467" max="9467" width="3.140625" style="27" customWidth="1"/>
    <col min="9468" max="9473" width="9.5703125" style="27" customWidth="1"/>
    <col min="9474" max="9474" width="3.42578125" style="27" customWidth="1"/>
    <col min="9475" max="9475" width="9.7109375" style="27" customWidth="1"/>
    <col min="9476" max="9476" width="10.28515625" style="27" customWidth="1"/>
    <col min="9477" max="9477" width="9.7109375" style="27" customWidth="1"/>
    <col min="9478" max="9478" width="10.140625" style="27" customWidth="1"/>
    <col min="9479" max="9479" width="9.7109375" style="27" customWidth="1"/>
    <col min="9480" max="9480" width="10.28515625" style="27" customWidth="1"/>
    <col min="9481" max="9481" width="2.85546875" style="27" customWidth="1"/>
    <col min="9482" max="9487" width="8.5703125" style="27" customWidth="1"/>
    <col min="9488" max="9488" width="3.5703125" style="27" customWidth="1"/>
    <col min="9489" max="9489" width="9" style="27" customWidth="1"/>
    <col min="9490" max="9490" width="10.28515625" style="27" customWidth="1"/>
    <col min="9491" max="9491" width="9" style="27" customWidth="1"/>
    <col min="9492" max="9492" width="10.5703125" style="27" customWidth="1"/>
    <col min="9493" max="9493" width="9.140625" style="27" customWidth="1"/>
    <col min="9494" max="9494" width="10.5703125" style="27" customWidth="1"/>
    <col min="9495" max="9495" width="8.85546875" style="27"/>
    <col min="9496" max="9496" width="11.7109375" style="27" customWidth="1"/>
    <col min="9497" max="9708" width="8.85546875" style="27"/>
    <col min="9709" max="9709" width="42.140625" style="27" customWidth="1"/>
    <col min="9710" max="9710" width="18.7109375" style="27" customWidth="1"/>
    <col min="9711" max="9711" width="19.140625" style="27" customWidth="1"/>
    <col min="9712" max="9712" width="11.7109375" style="27" customWidth="1"/>
    <col min="9713" max="9713" width="8.85546875" style="27"/>
    <col min="9714" max="9714" width="13.42578125" style="27" customWidth="1"/>
    <col min="9715" max="9716" width="8.85546875" style="27"/>
    <col min="9717" max="9717" width="13.5703125" style="27" customWidth="1"/>
    <col min="9718" max="9718" width="34.28515625" style="27" customWidth="1"/>
    <col min="9719" max="9720" width="16.28515625" style="27" customWidth="1"/>
    <col min="9721" max="9721" width="11" style="27" customWidth="1"/>
    <col min="9722" max="9722" width="14.5703125" style="27" customWidth="1"/>
    <col min="9723" max="9723" width="3.140625" style="27" customWidth="1"/>
    <col min="9724" max="9729" width="9.5703125" style="27" customWidth="1"/>
    <col min="9730" max="9730" width="3.42578125" style="27" customWidth="1"/>
    <col min="9731" max="9731" width="9.7109375" style="27" customWidth="1"/>
    <col min="9732" max="9732" width="10.28515625" style="27" customWidth="1"/>
    <col min="9733" max="9733" width="9.7109375" style="27" customWidth="1"/>
    <col min="9734" max="9734" width="10.140625" style="27" customWidth="1"/>
    <col min="9735" max="9735" width="9.7109375" style="27" customWidth="1"/>
    <col min="9736" max="9736" width="10.28515625" style="27" customWidth="1"/>
    <col min="9737" max="9737" width="2.85546875" style="27" customWidth="1"/>
    <col min="9738" max="9743" width="8.5703125" style="27" customWidth="1"/>
    <col min="9744" max="9744" width="3.5703125" style="27" customWidth="1"/>
    <col min="9745" max="9745" width="9" style="27" customWidth="1"/>
    <col min="9746" max="9746" width="10.28515625" style="27" customWidth="1"/>
    <col min="9747" max="9747" width="9" style="27" customWidth="1"/>
    <col min="9748" max="9748" width="10.5703125" style="27" customWidth="1"/>
    <col min="9749" max="9749" width="9.140625" style="27" customWidth="1"/>
    <col min="9750" max="9750" width="10.5703125" style="27" customWidth="1"/>
    <col min="9751" max="9751" width="8.85546875" style="27"/>
    <col min="9752" max="9752" width="11.7109375" style="27" customWidth="1"/>
    <col min="9753" max="9964" width="8.85546875" style="27"/>
    <col min="9965" max="9965" width="42.140625" style="27" customWidth="1"/>
    <col min="9966" max="9966" width="18.7109375" style="27" customWidth="1"/>
    <col min="9967" max="9967" width="19.140625" style="27" customWidth="1"/>
    <col min="9968" max="9968" width="11.7109375" style="27" customWidth="1"/>
    <col min="9969" max="9969" width="8.85546875" style="27"/>
    <col min="9970" max="9970" width="13.42578125" style="27" customWidth="1"/>
    <col min="9971" max="9972" width="8.85546875" style="27"/>
    <col min="9973" max="9973" width="13.5703125" style="27" customWidth="1"/>
    <col min="9974" max="9974" width="34.28515625" style="27" customWidth="1"/>
    <col min="9975" max="9976" width="16.28515625" style="27" customWidth="1"/>
    <col min="9977" max="9977" width="11" style="27" customWidth="1"/>
    <col min="9978" max="9978" width="14.5703125" style="27" customWidth="1"/>
    <col min="9979" max="9979" width="3.140625" style="27" customWidth="1"/>
    <col min="9980" max="9985" width="9.5703125" style="27" customWidth="1"/>
    <col min="9986" max="9986" width="3.42578125" style="27" customWidth="1"/>
    <col min="9987" max="9987" width="9.7109375" style="27" customWidth="1"/>
    <col min="9988" max="9988" width="10.28515625" style="27" customWidth="1"/>
    <col min="9989" max="9989" width="9.7109375" style="27" customWidth="1"/>
    <col min="9990" max="9990" width="10.140625" style="27" customWidth="1"/>
    <col min="9991" max="9991" width="9.7109375" style="27" customWidth="1"/>
    <col min="9992" max="9992" width="10.28515625" style="27" customWidth="1"/>
    <col min="9993" max="9993" width="2.85546875" style="27" customWidth="1"/>
    <col min="9994" max="9999" width="8.5703125" style="27" customWidth="1"/>
    <col min="10000" max="10000" width="3.5703125" style="27" customWidth="1"/>
    <col min="10001" max="10001" width="9" style="27" customWidth="1"/>
    <col min="10002" max="10002" width="10.28515625" style="27" customWidth="1"/>
    <col min="10003" max="10003" width="9" style="27" customWidth="1"/>
    <col min="10004" max="10004" width="10.5703125" style="27" customWidth="1"/>
    <col min="10005" max="10005" width="9.140625" style="27" customWidth="1"/>
    <col min="10006" max="10006" width="10.5703125" style="27" customWidth="1"/>
    <col min="10007" max="10007" width="8.85546875" style="27"/>
    <col min="10008" max="10008" width="11.7109375" style="27" customWidth="1"/>
    <col min="10009" max="10220" width="8.85546875" style="27"/>
    <col min="10221" max="10221" width="42.140625" style="27" customWidth="1"/>
    <col min="10222" max="10222" width="18.7109375" style="27" customWidth="1"/>
    <col min="10223" max="10223" width="19.140625" style="27" customWidth="1"/>
    <col min="10224" max="10224" width="11.7109375" style="27" customWidth="1"/>
    <col min="10225" max="10225" width="8.85546875" style="27"/>
    <col min="10226" max="10226" width="13.42578125" style="27" customWidth="1"/>
    <col min="10227" max="10228" width="8.85546875" style="27"/>
    <col min="10229" max="10229" width="13.5703125" style="27" customWidth="1"/>
    <col min="10230" max="10230" width="34.28515625" style="27" customWidth="1"/>
    <col min="10231" max="10232" width="16.28515625" style="27" customWidth="1"/>
    <col min="10233" max="10233" width="11" style="27" customWidth="1"/>
    <col min="10234" max="10234" width="14.5703125" style="27" customWidth="1"/>
    <col min="10235" max="10235" width="3.140625" style="27" customWidth="1"/>
    <col min="10236" max="10241" width="9.5703125" style="27" customWidth="1"/>
    <col min="10242" max="10242" width="3.42578125" style="27" customWidth="1"/>
    <col min="10243" max="10243" width="9.7109375" style="27" customWidth="1"/>
    <col min="10244" max="10244" width="10.28515625" style="27" customWidth="1"/>
    <col min="10245" max="10245" width="9.7109375" style="27" customWidth="1"/>
    <col min="10246" max="10246" width="10.140625" style="27" customWidth="1"/>
    <col min="10247" max="10247" width="9.7109375" style="27" customWidth="1"/>
    <col min="10248" max="10248" width="10.28515625" style="27" customWidth="1"/>
    <col min="10249" max="10249" width="2.85546875" style="27" customWidth="1"/>
    <col min="10250" max="10255" width="8.5703125" style="27" customWidth="1"/>
    <col min="10256" max="10256" width="3.5703125" style="27" customWidth="1"/>
    <col min="10257" max="10257" width="9" style="27" customWidth="1"/>
    <col min="10258" max="10258" width="10.28515625" style="27" customWidth="1"/>
    <col min="10259" max="10259" width="9" style="27" customWidth="1"/>
    <col min="10260" max="10260" width="10.5703125" style="27" customWidth="1"/>
    <col min="10261" max="10261" width="9.140625" style="27" customWidth="1"/>
    <col min="10262" max="10262" width="10.5703125" style="27" customWidth="1"/>
    <col min="10263" max="10263" width="8.85546875" style="27"/>
    <col min="10264" max="10264" width="11.7109375" style="27" customWidth="1"/>
    <col min="10265" max="10476" width="8.85546875" style="27"/>
    <col min="10477" max="10477" width="42.140625" style="27" customWidth="1"/>
    <col min="10478" max="10478" width="18.7109375" style="27" customWidth="1"/>
    <col min="10479" max="10479" width="19.140625" style="27" customWidth="1"/>
    <col min="10480" max="10480" width="11.7109375" style="27" customWidth="1"/>
    <col min="10481" max="10481" width="8.85546875" style="27"/>
    <col min="10482" max="10482" width="13.42578125" style="27" customWidth="1"/>
    <col min="10483" max="10484" width="8.85546875" style="27"/>
    <col min="10485" max="10485" width="13.5703125" style="27" customWidth="1"/>
    <col min="10486" max="10486" width="34.28515625" style="27" customWidth="1"/>
    <col min="10487" max="10488" width="16.28515625" style="27" customWidth="1"/>
    <col min="10489" max="10489" width="11" style="27" customWidth="1"/>
    <col min="10490" max="10490" width="14.5703125" style="27" customWidth="1"/>
    <col min="10491" max="10491" width="3.140625" style="27" customWidth="1"/>
    <col min="10492" max="10497" width="9.5703125" style="27" customWidth="1"/>
    <col min="10498" max="10498" width="3.42578125" style="27" customWidth="1"/>
    <col min="10499" max="10499" width="9.7109375" style="27" customWidth="1"/>
    <col min="10500" max="10500" width="10.28515625" style="27" customWidth="1"/>
    <col min="10501" max="10501" width="9.7109375" style="27" customWidth="1"/>
    <col min="10502" max="10502" width="10.140625" style="27" customWidth="1"/>
    <col min="10503" max="10503" width="9.7109375" style="27" customWidth="1"/>
    <col min="10504" max="10504" width="10.28515625" style="27" customWidth="1"/>
    <col min="10505" max="10505" width="2.85546875" style="27" customWidth="1"/>
    <col min="10506" max="10511" width="8.5703125" style="27" customWidth="1"/>
    <col min="10512" max="10512" width="3.5703125" style="27" customWidth="1"/>
    <col min="10513" max="10513" width="9" style="27" customWidth="1"/>
    <col min="10514" max="10514" width="10.28515625" style="27" customWidth="1"/>
    <col min="10515" max="10515" width="9" style="27" customWidth="1"/>
    <col min="10516" max="10516" width="10.5703125" style="27" customWidth="1"/>
    <col min="10517" max="10517" width="9.140625" style="27" customWidth="1"/>
    <col min="10518" max="10518" width="10.5703125" style="27" customWidth="1"/>
    <col min="10519" max="10519" width="8.85546875" style="27"/>
    <col min="10520" max="10520" width="11.7109375" style="27" customWidth="1"/>
    <col min="10521" max="10732" width="8.85546875" style="27"/>
    <col min="10733" max="10733" width="42.140625" style="27" customWidth="1"/>
    <col min="10734" max="10734" width="18.7109375" style="27" customWidth="1"/>
    <col min="10735" max="10735" width="19.140625" style="27" customWidth="1"/>
    <col min="10736" max="10736" width="11.7109375" style="27" customWidth="1"/>
    <col min="10737" max="10737" width="8.85546875" style="27"/>
    <col min="10738" max="10738" width="13.42578125" style="27" customWidth="1"/>
    <col min="10739" max="10740" width="8.85546875" style="27"/>
    <col min="10741" max="10741" width="13.5703125" style="27" customWidth="1"/>
    <col min="10742" max="10742" width="34.28515625" style="27" customWidth="1"/>
    <col min="10743" max="10744" width="16.28515625" style="27" customWidth="1"/>
    <col min="10745" max="10745" width="11" style="27" customWidth="1"/>
    <col min="10746" max="10746" width="14.5703125" style="27" customWidth="1"/>
    <col min="10747" max="10747" width="3.140625" style="27" customWidth="1"/>
    <col min="10748" max="10753" width="9.5703125" style="27" customWidth="1"/>
    <col min="10754" max="10754" width="3.42578125" style="27" customWidth="1"/>
    <col min="10755" max="10755" width="9.7109375" style="27" customWidth="1"/>
    <col min="10756" max="10756" width="10.28515625" style="27" customWidth="1"/>
    <col min="10757" max="10757" width="9.7109375" style="27" customWidth="1"/>
    <col min="10758" max="10758" width="10.140625" style="27" customWidth="1"/>
    <col min="10759" max="10759" width="9.7109375" style="27" customWidth="1"/>
    <col min="10760" max="10760" width="10.28515625" style="27" customWidth="1"/>
    <col min="10761" max="10761" width="2.85546875" style="27" customWidth="1"/>
    <col min="10762" max="10767" width="8.5703125" style="27" customWidth="1"/>
    <col min="10768" max="10768" width="3.5703125" style="27" customWidth="1"/>
    <col min="10769" max="10769" width="9" style="27" customWidth="1"/>
    <col min="10770" max="10770" width="10.28515625" style="27" customWidth="1"/>
    <col min="10771" max="10771" width="9" style="27" customWidth="1"/>
    <col min="10772" max="10772" width="10.5703125" style="27" customWidth="1"/>
    <col min="10773" max="10773" width="9.140625" style="27" customWidth="1"/>
    <col min="10774" max="10774" width="10.5703125" style="27" customWidth="1"/>
    <col min="10775" max="10775" width="8.85546875" style="27"/>
    <col min="10776" max="10776" width="11.7109375" style="27" customWidth="1"/>
    <col min="10777" max="10988" width="8.85546875" style="27"/>
    <col min="10989" max="10989" width="42.140625" style="27" customWidth="1"/>
    <col min="10990" max="10990" width="18.7109375" style="27" customWidth="1"/>
    <col min="10991" max="10991" width="19.140625" style="27" customWidth="1"/>
    <col min="10992" max="10992" width="11.7109375" style="27" customWidth="1"/>
    <col min="10993" max="10993" width="8.85546875" style="27"/>
    <col min="10994" max="10994" width="13.42578125" style="27" customWidth="1"/>
    <col min="10995" max="10996" width="8.85546875" style="27"/>
    <col min="10997" max="10997" width="13.5703125" style="27" customWidth="1"/>
    <col min="10998" max="10998" width="34.28515625" style="27" customWidth="1"/>
    <col min="10999" max="11000" width="16.28515625" style="27" customWidth="1"/>
    <col min="11001" max="11001" width="11" style="27" customWidth="1"/>
    <col min="11002" max="11002" width="14.5703125" style="27" customWidth="1"/>
    <col min="11003" max="11003" width="3.140625" style="27" customWidth="1"/>
    <col min="11004" max="11009" width="9.5703125" style="27" customWidth="1"/>
    <col min="11010" max="11010" width="3.42578125" style="27" customWidth="1"/>
    <col min="11011" max="11011" width="9.7109375" style="27" customWidth="1"/>
    <col min="11012" max="11012" width="10.28515625" style="27" customWidth="1"/>
    <col min="11013" max="11013" width="9.7109375" style="27" customWidth="1"/>
    <col min="11014" max="11014" width="10.140625" style="27" customWidth="1"/>
    <col min="11015" max="11015" width="9.7109375" style="27" customWidth="1"/>
    <col min="11016" max="11016" width="10.28515625" style="27" customWidth="1"/>
    <col min="11017" max="11017" width="2.85546875" style="27" customWidth="1"/>
    <col min="11018" max="11023" width="8.5703125" style="27" customWidth="1"/>
    <col min="11024" max="11024" width="3.5703125" style="27" customWidth="1"/>
    <col min="11025" max="11025" width="9" style="27" customWidth="1"/>
    <col min="11026" max="11026" width="10.28515625" style="27" customWidth="1"/>
    <col min="11027" max="11027" width="9" style="27" customWidth="1"/>
    <col min="11028" max="11028" width="10.5703125" style="27" customWidth="1"/>
    <col min="11029" max="11029" width="9.140625" style="27" customWidth="1"/>
    <col min="11030" max="11030" width="10.5703125" style="27" customWidth="1"/>
    <col min="11031" max="11031" width="8.85546875" style="27"/>
    <col min="11032" max="11032" width="11.7109375" style="27" customWidth="1"/>
    <col min="11033" max="11244" width="8.85546875" style="27"/>
    <col min="11245" max="11245" width="42.140625" style="27" customWidth="1"/>
    <col min="11246" max="11246" width="18.7109375" style="27" customWidth="1"/>
    <col min="11247" max="11247" width="19.140625" style="27" customWidth="1"/>
    <col min="11248" max="11248" width="11.7109375" style="27" customWidth="1"/>
    <col min="11249" max="11249" width="8.85546875" style="27"/>
    <col min="11250" max="11250" width="13.42578125" style="27" customWidth="1"/>
    <col min="11251" max="11252" width="8.85546875" style="27"/>
    <col min="11253" max="11253" width="13.5703125" style="27" customWidth="1"/>
    <col min="11254" max="11254" width="34.28515625" style="27" customWidth="1"/>
    <col min="11255" max="11256" width="16.28515625" style="27" customWidth="1"/>
    <col min="11257" max="11257" width="11" style="27" customWidth="1"/>
    <col min="11258" max="11258" width="14.5703125" style="27" customWidth="1"/>
    <col min="11259" max="11259" width="3.140625" style="27" customWidth="1"/>
    <col min="11260" max="11265" width="9.5703125" style="27" customWidth="1"/>
    <col min="11266" max="11266" width="3.42578125" style="27" customWidth="1"/>
    <col min="11267" max="11267" width="9.7109375" style="27" customWidth="1"/>
    <col min="11268" max="11268" width="10.28515625" style="27" customWidth="1"/>
    <col min="11269" max="11269" width="9.7109375" style="27" customWidth="1"/>
    <col min="11270" max="11270" width="10.140625" style="27" customWidth="1"/>
    <col min="11271" max="11271" width="9.7109375" style="27" customWidth="1"/>
    <col min="11272" max="11272" width="10.28515625" style="27" customWidth="1"/>
    <col min="11273" max="11273" width="2.85546875" style="27" customWidth="1"/>
    <col min="11274" max="11279" width="8.5703125" style="27" customWidth="1"/>
    <col min="11280" max="11280" width="3.5703125" style="27" customWidth="1"/>
    <col min="11281" max="11281" width="9" style="27" customWidth="1"/>
    <col min="11282" max="11282" width="10.28515625" style="27" customWidth="1"/>
    <col min="11283" max="11283" width="9" style="27" customWidth="1"/>
    <col min="11284" max="11284" width="10.5703125" style="27" customWidth="1"/>
    <col min="11285" max="11285" width="9.140625" style="27" customWidth="1"/>
    <col min="11286" max="11286" width="10.5703125" style="27" customWidth="1"/>
    <col min="11287" max="11287" width="8.85546875" style="27"/>
    <col min="11288" max="11288" width="11.7109375" style="27" customWidth="1"/>
    <col min="11289" max="11500" width="8.85546875" style="27"/>
    <col min="11501" max="11501" width="42.140625" style="27" customWidth="1"/>
    <col min="11502" max="11502" width="18.7109375" style="27" customWidth="1"/>
    <col min="11503" max="11503" width="19.140625" style="27" customWidth="1"/>
    <col min="11504" max="11504" width="11.7109375" style="27" customWidth="1"/>
    <col min="11505" max="11505" width="8.85546875" style="27"/>
    <col min="11506" max="11506" width="13.42578125" style="27" customWidth="1"/>
    <col min="11507" max="11508" width="8.85546875" style="27"/>
    <col min="11509" max="11509" width="13.5703125" style="27" customWidth="1"/>
    <col min="11510" max="11510" width="34.28515625" style="27" customWidth="1"/>
    <col min="11511" max="11512" width="16.28515625" style="27" customWidth="1"/>
    <col min="11513" max="11513" width="11" style="27" customWidth="1"/>
    <col min="11514" max="11514" width="14.5703125" style="27" customWidth="1"/>
    <col min="11515" max="11515" width="3.140625" style="27" customWidth="1"/>
    <col min="11516" max="11521" width="9.5703125" style="27" customWidth="1"/>
    <col min="11522" max="11522" width="3.42578125" style="27" customWidth="1"/>
    <col min="11523" max="11523" width="9.7109375" style="27" customWidth="1"/>
    <col min="11524" max="11524" width="10.28515625" style="27" customWidth="1"/>
    <col min="11525" max="11525" width="9.7109375" style="27" customWidth="1"/>
    <col min="11526" max="11526" width="10.140625" style="27" customWidth="1"/>
    <col min="11527" max="11527" width="9.7109375" style="27" customWidth="1"/>
    <col min="11528" max="11528" width="10.28515625" style="27" customWidth="1"/>
    <col min="11529" max="11529" width="2.85546875" style="27" customWidth="1"/>
    <col min="11530" max="11535" width="8.5703125" style="27" customWidth="1"/>
    <col min="11536" max="11536" width="3.5703125" style="27" customWidth="1"/>
    <col min="11537" max="11537" width="9" style="27" customWidth="1"/>
    <col min="11538" max="11538" width="10.28515625" style="27" customWidth="1"/>
    <col min="11539" max="11539" width="9" style="27" customWidth="1"/>
    <col min="11540" max="11540" width="10.5703125" style="27" customWidth="1"/>
    <col min="11541" max="11541" width="9.140625" style="27" customWidth="1"/>
    <col min="11542" max="11542" width="10.5703125" style="27" customWidth="1"/>
    <col min="11543" max="11543" width="8.85546875" style="27"/>
    <col min="11544" max="11544" width="11.7109375" style="27" customWidth="1"/>
    <col min="11545" max="11756" width="8.85546875" style="27"/>
    <col min="11757" max="11757" width="42.140625" style="27" customWidth="1"/>
    <col min="11758" max="11758" width="18.7109375" style="27" customWidth="1"/>
    <col min="11759" max="11759" width="19.140625" style="27" customWidth="1"/>
    <col min="11760" max="11760" width="11.7109375" style="27" customWidth="1"/>
    <col min="11761" max="11761" width="8.85546875" style="27"/>
    <col min="11762" max="11762" width="13.42578125" style="27" customWidth="1"/>
    <col min="11763" max="11764" width="8.85546875" style="27"/>
    <col min="11765" max="11765" width="13.5703125" style="27" customWidth="1"/>
    <col min="11766" max="11766" width="34.28515625" style="27" customWidth="1"/>
    <col min="11767" max="11768" width="16.28515625" style="27" customWidth="1"/>
    <col min="11769" max="11769" width="11" style="27" customWidth="1"/>
    <col min="11770" max="11770" width="14.5703125" style="27" customWidth="1"/>
    <col min="11771" max="11771" width="3.140625" style="27" customWidth="1"/>
    <col min="11772" max="11777" width="9.5703125" style="27" customWidth="1"/>
    <col min="11778" max="11778" width="3.42578125" style="27" customWidth="1"/>
    <col min="11779" max="11779" width="9.7109375" style="27" customWidth="1"/>
    <col min="11780" max="11780" width="10.28515625" style="27" customWidth="1"/>
    <col min="11781" max="11781" width="9.7109375" style="27" customWidth="1"/>
    <col min="11782" max="11782" width="10.140625" style="27" customWidth="1"/>
    <col min="11783" max="11783" width="9.7109375" style="27" customWidth="1"/>
    <col min="11784" max="11784" width="10.28515625" style="27" customWidth="1"/>
    <col min="11785" max="11785" width="2.85546875" style="27" customWidth="1"/>
    <col min="11786" max="11791" width="8.5703125" style="27" customWidth="1"/>
    <col min="11792" max="11792" width="3.5703125" style="27" customWidth="1"/>
    <col min="11793" max="11793" width="9" style="27" customWidth="1"/>
    <col min="11794" max="11794" width="10.28515625" style="27" customWidth="1"/>
    <col min="11795" max="11795" width="9" style="27" customWidth="1"/>
    <col min="11796" max="11796" width="10.5703125" style="27" customWidth="1"/>
    <col min="11797" max="11797" width="9.140625" style="27" customWidth="1"/>
    <col min="11798" max="11798" width="10.5703125" style="27" customWidth="1"/>
    <col min="11799" max="11799" width="8.85546875" style="27"/>
    <col min="11800" max="11800" width="11.7109375" style="27" customWidth="1"/>
    <col min="11801" max="12012" width="8.85546875" style="27"/>
    <col min="12013" max="12013" width="42.140625" style="27" customWidth="1"/>
    <col min="12014" max="12014" width="18.7109375" style="27" customWidth="1"/>
    <col min="12015" max="12015" width="19.140625" style="27" customWidth="1"/>
    <col min="12016" max="12016" width="11.7109375" style="27" customWidth="1"/>
    <col min="12017" max="12017" width="8.85546875" style="27"/>
    <col min="12018" max="12018" width="13.42578125" style="27" customWidth="1"/>
    <col min="12019" max="12020" width="8.85546875" style="27"/>
    <col min="12021" max="12021" width="13.5703125" style="27" customWidth="1"/>
    <col min="12022" max="12022" width="34.28515625" style="27" customWidth="1"/>
    <col min="12023" max="12024" width="16.28515625" style="27" customWidth="1"/>
    <col min="12025" max="12025" width="11" style="27" customWidth="1"/>
    <col min="12026" max="12026" width="14.5703125" style="27" customWidth="1"/>
    <col min="12027" max="12027" width="3.140625" style="27" customWidth="1"/>
    <col min="12028" max="12033" width="9.5703125" style="27" customWidth="1"/>
    <col min="12034" max="12034" width="3.42578125" style="27" customWidth="1"/>
    <col min="12035" max="12035" width="9.7109375" style="27" customWidth="1"/>
    <col min="12036" max="12036" width="10.28515625" style="27" customWidth="1"/>
    <col min="12037" max="12037" width="9.7109375" style="27" customWidth="1"/>
    <col min="12038" max="12038" width="10.140625" style="27" customWidth="1"/>
    <col min="12039" max="12039" width="9.7109375" style="27" customWidth="1"/>
    <col min="12040" max="12040" width="10.28515625" style="27" customWidth="1"/>
    <col min="12041" max="12041" width="2.85546875" style="27" customWidth="1"/>
    <col min="12042" max="12047" width="8.5703125" style="27" customWidth="1"/>
    <col min="12048" max="12048" width="3.5703125" style="27" customWidth="1"/>
    <col min="12049" max="12049" width="9" style="27" customWidth="1"/>
    <col min="12050" max="12050" width="10.28515625" style="27" customWidth="1"/>
    <col min="12051" max="12051" width="9" style="27" customWidth="1"/>
    <col min="12052" max="12052" width="10.5703125" style="27" customWidth="1"/>
    <col min="12053" max="12053" width="9.140625" style="27" customWidth="1"/>
    <col min="12054" max="12054" width="10.5703125" style="27" customWidth="1"/>
    <col min="12055" max="12055" width="8.85546875" style="27"/>
    <col min="12056" max="12056" width="11.7109375" style="27" customWidth="1"/>
    <col min="12057" max="12268" width="8.85546875" style="27"/>
    <col min="12269" max="12269" width="42.140625" style="27" customWidth="1"/>
    <col min="12270" max="12270" width="18.7109375" style="27" customWidth="1"/>
    <col min="12271" max="12271" width="19.140625" style="27" customWidth="1"/>
    <col min="12272" max="12272" width="11.7109375" style="27" customWidth="1"/>
    <col min="12273" max="12273" width="8.85546875" style="27"/>
    <col min="12274" max="12274" width="13.42578125" style="27" customWidth="1"/>
    <col min="12275" max="12276" width="8.85546875" style="27"/>
    <col min="12277" max="12277" width="13.5703125" style="27" customWidth="1"/>
    <col min="12278" max="12278" width="34.28515625" style="27" customWidth="1"/>
    <col min="12279" max="12280" width="16.28515625" style="27" customWidth="1"/>
    <col min="12281" max="12281" width="11" style="27" customWidth="1"/>
    <col min="12282" max="12282" width="14.5703125" style="27" customWidth="1"/>
    <col min="12283" max="12283" width="3.140625" style="27" customWidth="1"/>
    <col min="12284" max="12289" width="9.5703125" style="27" customWidth="1"/>
    <col min="12290" max="12290" width="3.42578125" style="27" customWidth="1"/>
    <col min="12291" max="12291" width="9.7109375" style="27" customWidth="1"/>
    <col min="12292" max="12292" width="10.28515625" style="27" customWidth="1"/>
    <col min="12293" max="12293" width="9.7109375" style="27" customWidth="1"/>
    <col min="12294" max="12294" width="10.140625" style="27" customWidth="1"/>
    <col min="12295" max="12295" width="9.7109375" style="27" customWidth="1"/>
    <col min="12296" max="12296" width="10.28515625" style="27" customWidth="1"/>
    <col min="12297" max="12297" width="2.85546875" style="27" customWidth="1"/>
    <col min="12298" max="12303" width="8.5703125" style="27" customWidth="1"/>
    <col min="12304" max="12304" width="3.5703125" style="27" customWidth="1"/>
    <col min="12305" max="12305" width="9" style="27" customWidth="1"/>
    <col min="12306" max="12306" width="10.28515625" style="27" customWidth="1"/>
    <col min="12307" max="12307" width="9" style="27" customWidth="1"/>
    <col min="12308" max="12308" width="10.5703125" style="27" customWidth="1"/>
    <col min="12309" max="12309" width="9.140625" style="27" customWidth="1"/>
    <col min="12310" max="12310" width="10.5703125" style="27" customWidth="1"/>
    <col min="12311" max="12311" width="8.85546875" style="27"/>
    <col min="12312" max="12312" width="11.7109375" style="27" customWidth="1"/>
    <col min="12313" max="12524" width="8.85546875" style="27"/>
    <col min="12525" max="12525" width="42.140625" style="27" customWidth="1"/>
    <col min="12526" max="12526" width="18.7109375" style="27" customWidth="1"/>
    <col min="12527" max="12527" width="19.140625" style="27" customWidth="1"/>
    <col min="12528" max="12528" width="11.7109375" style="27" customWidth="1"/>
    <col min="12529" max="12529" width="8.85546875" style="27"/>
    <col min="12530" max="12530" width="13.42578125" style="27" customWidth="1"/>
    <col min="12531" max="12532" width="8.85546875" style="27"/>
    <col min="12533" max="12533" width="13.5703125" style="27" customWidth="1"/>
    <col min="12534" max="12534" width="34.28515625" style="27" customWidth="1"/>
    <col min="12535" max="12536" width="16.28515625" style="27" customWidth="1"/>
    <col min="12537" max="12537" width="11" style="27" customWidth="1"/>
    <col min="12538" max="12538" width="14.5703125" style="27" customWidth="1"/>
    <col min="12539" max="12539" width="3.140625" style="27" customWidth="1"/>
    <col min="12540" max="12545" width="9.5703125" style="27" customWidth="1"/>
    <col min="12546" max="12546" width="3.42578125" style="27" customWidth="1"/>
    <col min="12547" max="12547" width="9.7109375" style="27" customWidth="1"/>
    <col min="12548" max="12548" width="10.28515625" style="27" customWidth="1"/>
    <col min="12549" max="12549" width="9.7109375" style="27" customWidth="1"/>
    <col min="12550" max="12550" width="10.140625" style="27" customWidth="1"/>
    <col min="12551" max="12551" width="9.7109375" style="27" customWidth="1"/>
    <col min="12552" max="12552" width="10.28515625" style="27" customWidth="1"/>
    <col min="12553" max="12553" width="2.85546875" style="27" customWidth="1"/>
    <col min="12554" max="12559" width="8.5703125" style="27" customWidth="1"/>
    <col min="12560" max="12560" width="3.5703125" style="27" customWidth="1"/>
    <col min="12561" max="12561" width="9" style="27" customWidth="1"/>
    <col min="12562" max="12562" width="10.28515625" style="27" customWidth="1"/>
    <col min="12563" max="12563" width="9" style="27" customWidth="1"/>
    <col min="12564" max="12564" width="10.5703125" style="27" customWidth="1"/>
    <col min="12565" max="12565" width="9.140625" style="27" customWidth="1"/>
    <col min="12566" max="12566" width="10.5703125" style="27" customWidth="1"/>
    <col min="12567" max="12567" width="8.85546875" style="27"/>
    <col min="12568" max="12568" width="11.7109375" style="27" customWidth="1"/>
    <col min="12569" max="12780" width="8.85546875" style="27"/>
    <col min="12781" max="12781" width="42.140625" style="27" customWidth="1"/>
    <col min="12782" max="12782" width="18.7109375" style="27" customWidth="1"/>
    <col min="12783" max="12783" width="19.140625" style="27" customWidth="1"/>
    <col min="12784" max="12784" width="11.7109375" style="27" customWidth="1"/>
    <col min="12785" max="12785" width="8.85546875" style="27"/>
    <col min="12786" max="12786" width="13.42578125" style="27" customWidth="1"/>
    <col min="12787" max="12788" width="8.85546875" style="27"/>
    <col min="12789" max="12789" width="13.5703125" style="27" customWidth="1"/>
    <col min="12790" max="12790" width="34.28515625" style="27" customWidth="1"/>
    <col min="12791" max="12792" width="16.28515625" style="27" customWidth="1"/>
    <col min="12793" max="12793" width="11" style="27" customWidth="1"/>
    <col min="12794" max="12794" width="14.5703125" style="27" customWidth="1"/>
    <col min="12795" max="12795" width="3.140625" style="27" customWidth="1"/>
    <col min="12796" max="12801" width="9.5703125" style="27" customWidth="1"/>
    <col min="12802" max="12802" width="3.42578125" style="27" customWidth="1"/>
    <col min="12803" max="12803" width="9.7109375" style="27" customWidth="1"/>
    <col min="12804" max="12804" width="10.28515625" style="27" customWidth="1"/>
    <col min="12805" max="12805" width="9.7109375" style="27" customWidth="1"/>
    <col min="12806" max="12806" width="10.140625" style="27" customWidth="1"/>
    <col min="12807" max="12807" width="9.7109375" style="27" customWidth="1"/>
    <col min="12808" max="12808" width="10.28515625" style="27" customWidth="1"/>
    <col min="12809" max="12809" width="2.85546875" style="27" customWidth="1"/>
    <col min="12810" max="12815" width="8.5703125" style="27" customWidth="1"/>
    <col min="12816" max="12816" width="3.5703125" style="27" customWidth="1"/>
    <col min="12817" max="12817" width="9" style="27" customWidth="1"/>
    <col min="12818" max="12818" width="10.28515625" style="27" customWidth="1"/>
    <col min="12819" max="12819" width="9" style="27" customWidth="1"/>
    <col min="12820" max="12820" width="10.5703125" style="27" customWidth="1"/>
    <col min="12821" max="12821" width="9.140625" style="27" customWidth="1"/>
    <col min="12822" max="12822" width="10.5703125" style="27" customWidth="1"/>
    <col min="12823" max="12823" width="8.85546875" style="27"/>
    <col min="12824" max="12824" width="11.7109375" style="27" customWidth="1"/>
    <col min="12825" max="13036" width="8.85546875" style="27"/>
    <col min="13037" max="13037" width="42.140625" style="27" customWidth="1"/>
    <col min="13038" max="13038" width="18.7109375" style="27" customWidth="1"/>
    <col min="13039" max="13039" width="19.140625" style="27" customWidth="1"/>
    <col min="13040" max="13040" width="11.7109375" style="27" customWidth="1"/>
    <col min="13041" max="13041" width="8.85546875" style="27"/>
    <col min="13042" max="13042" width="13.42578125" style="27" customWidth="1"/>
    <col min="13043" max="13044" width="8.85546875" style="27"/>
    <col min="13045" max="13045" width="13.5703125" style="27" customWidth="1"/>
    <col min="13046" max="13046" width="34.28515625" style="27" customWidth="1"/>
    <col min="13047" max="13048" width="16.28515625" style="27" customWidth="1"/>
    <col min="13049" max="13049" width="11" style="27" customWidth="1"/>
    <col min="13050" max="13050" width="14.5703125" style="27" customWidth="1"/>
    <col min="13051" max="13051" width="3.140625" style="27" customWidth="1"/>
    <col min="13052" max="13057" width="9.5703125" style="27" customWidth="1"/>
    <col min="13058" max="13058" width="3.42578125" style="27" customWidth="1"/>
    <col min="13059" max="13059" width="9.7109375" style="27" customWidth="1"/>
    <col min="13060" max="13060" width="10.28515625" style="27" customWidth="1"/>
    <col min="13061" max="13061" width="9.7109375" style="27" customWidth="1"/>
    <col min="13062" max="13062" width="10.140625" style="27" customWidth="1"/>
    <col min="13063" max="13063" width="9.7109375" style="27" customWidth="1"/>
    <col min="13064" max="13064" width="10.28515625" style="27" customWidth="1"/>
    <col min="13065" max="13065" width="2.85546875" style="27" customWidth="1"/>
    <col min="13066" max="13071" width="8.5703125" style="27" customWidth="1"/>
    <col min="13072" max="13072" width="3.5703125" style="27" customWidth="1"/>
    <col min="13073" max="13073" width="9" style="27" customWidth="1"/>
    <col min="13074" max="13074" width="10.28515625" style="27" customWidth="1"/>
    <col min="13075" max="13075" width="9" style="27" customWidth="1"/>
    <col min="13076" max="13076" width="10.5703125" style="27" customWidth="1"/>
    <col min="13077" max="13077" width="9.140625" style="27" customWidth="1"/>
    <col min="13078" max="13078" width="10.5703125" style="27" customWidth="1"/>
    <col min="13079" max="13079" width="8.85546875" style="27"/>
    <col min="13080" max="13080" width="11.7109375" style="27" customWidth="1"/>
    <col min="13081" max="13292" width="8.85546875" style="27"/>
    <col min="13293" max="13293" width="42.140625" style="27" customWidth="1"/>
    <col min="13294" max="13294" width="18.7109375" style="27" customWidth="1"/>
    <col min="13295" max="13295" width="19.140625" style="27" customWidth="1"/>
    <col min="13296" max="13296" width="11.7109375" style="27" customWidth="1"/>
    <col min="13297" max="13297" width="8.85546875" style="27"/>
    <col min="13298" max="13298" width="13.42578125" style="27" customWidth="1"/>
    <col min="13299" max="13300" width="8.85546875" style="27"/>
    <col min="13301" max="13301" width="13.5703125" style="27" customWidth="1"/>
    <col min="13302" max="13302" width="34.28515625" style="27" customWidth="1"/>
    <col min="13303" max="13304" width="16.28515625" style="27" customWidth="1"/>
    <col min="13305" max="13305" width="11" style="27" customWidth="1"/>
    <col min="13306" max="13306" width="14.5703125" style="27" customWidth="1"/>
    <col min="13307" max="13307" width="3.140625" style="27" customWidth="1"/>
    <col min="13308" max="13313" width="9.5703125" style="27" customWidth="1"/>
    <col min="13314" max="13314" width="3.42578125" style="27" customWidth="1"/>
    <col min="13315" max="13315" width="9.7109375" style="27" customWidth="1"/>
    <col min="13316" max="13316" width="10.28515625" style="27" customWidth="1"/>
    <col min="13317" max="13317" width="9.7109375" style="27" customWidth="1"/>
    <col min="13318" max="13318" width="10.140625" style="27" customWidth="1"/>
    <col min="13319" max="13319" width="9.7109375" style="27" customWidth="1"/>
    <col min="13320" max="13320" width="10.28515625" style="27" customWidth="1"/>
    <col min="13321" max="13321" width="2.85546875" style="27" customWidth="1"/>
    <col min="13322" max="13327" width="8.5703125" style="27" customWidth="1"/>
    <col min="13328" max="13328" width="3.5703125" style="27" customWidth="1"/>
    <col min="13329" max="13329" width="9" style="27" customWidth="1"/>
    <col min="13330" max="13330" width="10.28515625" style="27" customWidth="1"/>
    <col min="13331" max="13331" width="9" style="27" customWidth="1"/>
    <col min="13332" max="13332" width="10.5703125" style="27" customWidth="1"/>
    <col min="13333" max="13333" width="9.140625" style="27" customWidth="1"/>
    <col min="13334" max="13334" width="10.5703125" style="27" customWidth="1"/>
    <col min="13335" max="13335" width="8.85546875" style="27"/>
    <col min="13336" max="13336" width="11.7109375" style="27" customWidth="1"/>
    <col min="13337" max="13548" width="8.85546875" style="27"/>
    <col min="13549" max="13549" width="42.140625" style="27" customWidth="1"/>
    <col min="13550" max="13550" width="18.7109375" style="27" customWidth="1"/>
    <col min="13551" max="13551" width="19.140625" style="27" customWidth="1"/>
    <col min="13552" max="13552" width="11.7109375" style="27" customWidth="1"/>
    <col min="13553" max="13553" width="8.85546875" style="27"/>
    <col min="13554" max="13554" width="13.42578125" style="27" customWidth="1"/>
    <col min="13555" max="13556" width="8.85546875" style="27"/>
    <col min="13557" max="13557" width="13.5703125" style="27" customWidth="1"/>
    <col min="13558" max="13558" width="34.28515625" style="27" customWidth="1"/>
    <col min="13559" max="13560" width="16.28515625" style="27" customWidth="1"/>
    <col min="13561" max="13561" width="11" style="27" customWidth="1"/>
    <col min="13562" max="13562" width="14.5703125" style="27" customWidth="1"/>
    <col min="13563" max="13563" width="3.140625" style="27" customWidth="1"/>
    <col min="13564" max="13569" width="9.5703125" style="27" customWidth="1"/>
    <col min="13570" max="13570" width="3.42578125" style="27" customWidth="1"/>
    <col min="13571" max="13571" width="9.7109375" style="27" customWidth="1"/>
    <col min="13572" max="13572" width="10.28515625" style="27" customWidth="1"/>
    <col min="13573" max="13573" width="9.7109375" style="27" customWidth="1"/>
    <col min="13574" max="13574" width="10.140625" style="27" customWidth="1"/>
    <col min="13575" max="13575" width="9.7109375" style="27" customWidth="1"/>
    <col min="13576" max="13576" width="10.28515625" style="27" customWidth="1"/>
    <col min="13577" max="13577" width="2.85546875" style="27" customWidth="1"/>
    <col min="13578" max="13583" width="8.5703125" style="27" customWidth="1"/>
    <col min="13584" max="13584" width="3.5703125" style="27" customWidth="1"/>
    <col min="13585" max="13585" width="9" style="27" customWidth="1"/>
    <col min="13586" max="13586" width="10.28515625" style="27" customWidth="1"/>
    <col min="13587" max="13587" width="9" style="27" customWidth="1"/>
    <col min="13588" max="13588" width="10.5703125" style="27" customWidth="1"/>
    <col min="13589" max="13589" width="9.140625" style="27" customWidth="1"/>
    <col min="13590" max="13590" width="10.5703125" style="27" customWidth="1"/>
    <col min="13591" max="13591" width="8.85546875" style="27"/>
    <col min="13592" max="13592" width="11.7109375" style="27" customWidth="1"/>
    <col min="13593" max="13804" width="8.85546875" style="27"/>
    <col min="13805" max="13805" width="42.140625" style="27" customWidth="1"/>
    <col min="13806" max="13806" width="18.7109375" style="27" customWidth="1"/>
    <col min="13807" max="13807" width="19.140625" style="27" customWidth="1"/>
    <col min="13808" max="13808" width="11.7109375" style="27" customWidth="1"/>
    <col min="13809" max="13809" width="8.85546875" style="27"/>
    <col min="13810" max="13810" width="13.42578125" style="27" customWidth="1"/>
    <col min="13811" max="13812" width="8.85546875" style="27"/>
    <col min="13813" max="13813" width="13.5703125" style="27" customWidth="1"/>
    <col min="13814" max="13814" width="34.28515625" style="27" customWidth="1"/>
    <col min="13815" max="13816" width="16.28515625" style="27" customWidth="1"/>
    <col min="13817" max="13817" width="11" style="27" customWidth="1"/>
    <col min="13818" max="13818" width="14.5703125" style="27" customWidth="1"/>
    <col min="13819" max="13819" width="3.140625" style="27" customWidth="1"/>
    <col min="13820" max="13825" width="9.5703125" style="27" customWidth="1"/>
    <col min="13826" max="13826" width="3.42578125" style="27" customWidth="1"/>
    <col min="13827" max="13827" width="9.7109375" style="27" customWidth="1"/>
    <col min="13828" max="13828" width="10.28515625" style="27" customWidth="1"/>
    <col min="13829" max="13829" width="9.7109375" style="27" customWidth="1"/>
    <col min="13830" max="13830" width="10.140625" style="27" customWidth="1"/>
    <col min="13831" max="13831" width="9.7109375" style="27" customWidth="1"/>
    <col min="13832" max="13832" width="10.28515625" style="27" customWidth="1"/>
    <col min="13833" max="13833" width="2.85546875" style="27" customWidth="1"/>
    <col min="13834" max="13839" width="8.5703125" style="27" customWidth="1"/>
    <col min="13840" max="13840" width="3.5703125" style="27" customWidth="1"/>
    <col min="13841" max="13841" width="9" style="27" customWidth="1"/>
    <col min="13842" max="13842" width="10.28515625" style="27" customWidth="1"/>
    <col min="13843" max="13843" width="9" style="27" customWidth="1"/>
    <col min="13844" max="13844" width="10.5703125" style="27" customWidth="1"/>
    <col min="13845" max="13845" width="9.140625" style="27" customWidth="1"/>
    <col min="13846" max="13846" width="10.5703125" style="27" customWidth="1"/>
    <col min="13847" max="13847" width="8.85546875" style="27"/>
    <col min="13848" max="13848" width="11.7109375" style="27" customWidth="1"/>
    <col min="13849" max="14060" width="8.85546875" style="27"/>
    <col min="14061" max="14061" width="42.140625" style="27" customWidth="1"/>
    <col min="14062" max="14062" width="18.7109375" style="27" customWidth="1"/>
    <col min="14063" max="14063" width="19.140625" style="27" customWidth="1"/>
    <col min="14064" max="14064" width="11.7109375" style="27" customWidth="1"/>
    <col min="14065" max="14065" width="8.85546875" style="27"/>
    <col min="14066" max="14066" width="13.42578125" style="27" customWidth="1"/>
    <col min="14067" max="14068" width="8.85546875" style="27"/>
    <col min="14069" max="14069" width="13.5703125" style="27" customWidth="1"/>
    <col min="14070" max="14070" width="34.28515625" style="27" customWidth="1"/>
    <col min="14071" max="14072" width="16.28515625" style="27" customWidth="1"/>
    <col min="14073" max="14073" width="11" style="27" customWidth="1"/>
    <col min="14074" max="14074" width="14.5703125" style="27" customWidth="1"/>
    <col min="14075" max="14075" width="3.140625" style="27" customWidth="1"/>
    <col min="14076" max="14081" width="9.5703125" style="27" customWidth="1"/>
    <col min="14082" max="14082" width="3.42578125" style="27" customWidth="1"/>
    <col min="14083" max="14083" width="9.7109375" style="27" customWidth="1"/>
    <col min="14084" max="14084" width="10.28515625" style="27" customWidth="1"/>
    <col min="14085" max="14085" width="9.7109375" style="27" customWidth="1"/>
    <col min="14086" max="14086" width="10.140625" style="27" customWidth="1"/>
    <col min="14087" max="14087" width="9.7109375" style="27" customWidth="1"/>
    <col min="14088" max="14088" width="10.28515625" style="27" customWidth="1"/>
    <col min="14089" max="14089" width="2.85546875" style="27" customWidth="1"/>
    <col min="14090" max="14095" width="8.5703125" style="27" customWidth="1"/>
    <col min="14096" max="14096" width="3.5703125" style="27" customWidth="1"/>
    <col min="14097" max="14097" width="9" style="27" customWidth="1"/>
    <col min="14098" max="14098" width="10.28515625" style="27" customWidth="1"/>
    <col min="14099" max="14099" width="9" style="27" customWidth="1"/>
    <col min="14100" max="14100" width="10.5703125" style="27" customWidth="1"/>
    <col min="14101" max="14101" width="9.140625" style="27" customWidth="1"/>
    <col min="14102" max="14102" width="10.5703125" style="27" customWidth="1"/>
    <col min="14103" max="14103" width="8.85546875" style="27"/>
    <col min="14104" max="14104" width="11.7109375" style="27" customWidth="1"/>
    <col min="14105" max="14316" width="8.85546875" style="27"/>
    <col min="14317" max="14317" width="42.140625" style="27" customWidth="1"/>
    <col min="14318" max="14318" width="18.7109375" style="27" customWidth="1"/>
    <col min="14319" max="14319" width="19.140625" style="27" customWidth="1"/>
    <col min="14320" max="14320" width="11.7109375" style="27" customWidth="1"/>
    <col min="14321" max="14321" width="8.85546875" style="27"/>
    <col min="14322" max="14322" width="13.42578125" style="27" customWidth="1"/>
    <col min="14323" max="14324" width="8.85546875" style="27"/>
    <col min="14325" max="14325" width="13.5703125" style="27" customWidth="1"/>
    <col min="14326" max="14326" width="34.28515625" style="27" customWidth="1"/>
    <col min="14327" max="14328" width="16.28515625" style="27" customWidth="1"/>
    <col min="14329" max="14329" width="11" style="27" customWidth="1"/>
    <col min="14330" max="14330" width="14.5703125" style="27" customWidth="1"/>
    <col min="14331" max="14331" width="3.140625" style="27" customWidth="1"/>
    <col min="14332" max="14337" width="9.5703125" style="27" customWidth="1"/>
    <col min="14338" max="14338" width="3.42578125" style="27" customWidth="1"/>
    <col min="14339" max="14339" width="9.7109375" style="27" customWidth="1"/>
    <col min="14340" max="14340" width="10.28515625" style="27" customWidth="1"/>
    <col min="14341" max="14341" width="9.7109375" style="27" customWidth="1"/>
    <col min="14342" max="14342" width="10.140625" style="27" customWidth="1"/>
    <col min="14343" max="14343" width="9.7109375" style="27" customWidth="1"/>
    <col min="14344" max="14344" width="10.28515625" style="27" customWidth="1"/>
    <col min="14345" max="14345" width="2.85546875" style="27" customWidth="1"/>
    <col min="14346" max="14351" width="8.5703125" style="27" customWidth="1"/>
    <col min="14352" max="14352" width="3.5703125" style="27" customWidth="1"/>
    <col min="14353" max="14353" width="9" style="27" customWidth="1"/>
    <col min="14354" max="14354" width="10.28515625" style="27" customWidth="1"/>
    <col min="14355" max="14355" width="9" style="27" customWidth="1"/>
    <col min="14356" max="14356" width="10.5703125" style="27" customWidth="1"/>
    <col min="14357" max="14357" width="9.140625" style="27" customWidth="1"/>
    <col min="14358" max="14358" width="10.5703125" style="27" customWidth="1"/>
    <col min="14359" max="14359" width="8.85546875" style="27"/>
    <col min="14360" max="14360" width="11.7109375" style="27" customWidth="1"/>
    <col min="14361" max="14572" width="8.85546875" style="27"/>
    <col min="14573" max="14573" width="42.140625" style="27" customWidth="1"/>
    <col min="14574" max="14574" width="18.7109375" style="27" customWidth="1"/>
    <col min="14575" max="14575" width="19.140625" style="27" customWidth="1"/>
    <col min="14576" max="14576" width="11.7109375" style="27" customWidth="1"/>
    <col min="14577" max="14577" width="8.85546875" style="27"/>
    <col min="14578" max="14578" width="13.42578125" style="27" customWidth="1"/>
    <col min="14579" max="14580" width="8.85546875" style="27"/>
    <col min="14581" max="14581" width="13.5703125" style="27" customWidth="1"/>
    <col min="14582" max="14582" width="34.28515625" style="27" customWidth="1"/>
    <col min="14583" max="14584" width="16.28515625" style="27" customWidth="1"/>
    <col min="14585" max="14585" width="11" style="27" customWidth="1"/>
    <col min="14586" max="14586" width="14.5703125" style="27" customWidth="1"/>
    <col min="14587" max="14587" width="3.140625" style="27" customWidth="1"/>
    <col min="14588" max="14593" width="9.5703125" style="27" customWidth="1"/>
    <col min="14594" max="14594" width="3.42578125" style="27" customWidth="1"/>
    <col min="14595" max="14595" width="9.7109375" style="27" customWidth="1"/>
    <col min="14596" max="14596" width="10.28515625" style="27" customWidth="1"/>
    <col min="14597" max="14597" width="9.7109375" style="27" customWidth="1"/>
    <col min="14598" max="14598" width="10.140625" style="27" customWidth="1"/>
    <col min="14599" max="14599" width="9.7109375" style="27" customWidth="1"/>
    <col min="14600" max="14600" width="10.28515625" style="27" customWidth="1"/>
    <col min="14601" max="14601" width="2.85546875" style="27" customWidth="1"/>
    <col min="14602" max="14607" width="8.5703125" style="27" customWidth="1"/>
    <col min="14608" max="14608" width="3.5703125" style="27" customWidth="1"/>
    <col min="14609" max="14609" width="9" style="27" customWidth="1"/>
    <col min="14610" max="14610" width="10.28515625" style="27" customWidth="1"/>
    <col min="14611" max="14611" width="9" style="27" customWidth="1"/>
    <col min="14612" max="14612" width="10.5703125" style="27" customWidth="1"/>
    <col min="14613" max="14613" width="9.140625" style="27" customWidth="1"/>
    <col min="14614" max="14614" width="10.5703125" style="27" customWidth="1"/>
    <col min="14615" max="14615" width="8.85546875" style="27"/>
    <col min="14616" max="14616" width="11.7109375" style="27" customWidth="1"/>
    <col min="14617" max="14828" width="8.85546875" style="27"/>
    <col min="14829" max="14829" width="42.140625" style="27" customWidth="1"/>
    <col min="14830" max="14830" width="18.7109375" style="27" customWidth="1"/>
    <col min="14831" max="14831" width="19.140625" style="27" customWidth="1"/>
    <col min="14832" max="14832" width="11.7109375" style="27" customWidth="1"/>
    <col min="14833" max="14833" width="8.85546875" style="27"/>
    <col min="14834" max="14834" width="13.42578125" style="27" customWidth="1"/>
    <col min="14835" max="14836" width="8.85546875" style="27"/>
    <col min="14837" max="14837" width="13.5703125" style="27" customWidth="1"/>
    <col min="14838" max="14838" width="34.28515625" style="27" customWidth="1"/>
    <col min="14839" max="14840" width="16.28515625" style="27" customWidth="1"/>
    <col min="14841" max="14841" width="11" style="27" customWidth="1"/>
    <col min="14842" max="14842" width="14.5703125" style="27" customWidth="1"/>
    <col min="14843" max="14843" width="3.140625" style="27" customWidth="1"/>
    <col min="14844" max="14849" width="9.5703125" style="27" customWidth="1"/>
    <col min="14850" max="14850" width="3.42578125" style="27" customWidth="1"/>
    <col min="14851" max="14851" width="9.7109375" style="27" customWidth="1"/>
    <col min="14852" max="14852" width="10.28515625" style="27" customWidth="1"/>
    <col min="14853" max="14853" width="9.7109375" style="27" customWidth="1"/>
    <col min="14854" max="14854" width="10.140625" style="27" customWidth="1"/>
    <col min="14855" max="14855" width="9.7109375" style="27" customWidth="1"/>
    <col min="14856" max="14856" width="10.28515625" style="27" customWidth="1"/>
    <col min="14857" max="14857" width="2.85546875" style="27" customWidth="1"/>
    <col min="14858" max="14863" width="8.5703125" style="27" customWidth="1"/>
    <col min="14864" max="14864" width="3.5703125" style="27" customWidth="1"/>
    <col min="14865" max="14865" width="9" style="27" customWidth="1"/>
    <col min="14866" max="14866" width="10.28515625" style="27" customWidth="1"/>
    <col min="14867" max="14867" width="9" style="27" customWidth="1"/>
    <col min="14868" max="14868" width="10.5703125" style="27" customWidth="1"/>
    <col min="14869" max="14869" width="9.140625" style="27" customWidth="1"/>
    <col min="14870" max="14870" width="10.5703125" style="27" customWidth="1"/>
    <col min="14871" max="14871" width="8.85546875" style="27"/>
    <col min="14872" max="14872" width="11.7109375" style="27" customWidth="1"/>
    <col min="14873" max="15084" width="8.85546875" style="27"/>
    <col min="15085" max="15085" width="42.140625" style="27" customWidth="1"/>
    <col min="15086" max="15086" width="18.7109375" style="27" customWidth="1"/>
    <col min="15087" max="15087" width="19.140625" style="27" customWidth="1"/>
    <col min="15088" max="15088" width="11.7109375" style="27" customWidth="1"/>
    <col min="15089" max="15089" width="8.85546875" style="27"/>
    <col min="15090" max="15090" width="13.42578125" style="27" customWidth="1"/>
    <col min="15091" max="15092" width="8.85546875" style="27"/>
    <col min="15093" max="15093" width="13.5703125" style="27" customWidth="1"/>
    <col min="15094" max="15094" width="34.28515625" style="27" customWidth="1"/>
    <col min="15095" max="15096" width="16.28515625" style="27" customWidth="1"/>
    <col min="15097" max="15097" width="11" style="27" customWidth="1"/>
    <col min="15098" max="15098" width="14.5703125" style="27" customWidth="1"/>
    <col min="15099" max="15099" width="3.140625" style="27" customWidth="1"/>
    <col min="15100" max="15105" width="9.5703125" style="27" customWidth="1"/>
    <col min="15106" max="15106" width="3.42578125" style="27" customWidth="1"/>
    <col min="15107" max="15107" width="9.7109375" style="27" customWidth="1"/>
    <col min="15108" max="15108" width="10.28515625" style="27" customWidth="1"/>
    <col min="15109" max="15109" width="9.7109375" style="27" customWidth="1"/>
    <col min="15110" max="15110" width="10.140625" style="27" customWidth="1"/>
    <col min="15111" max="15111" width="9.7109375" style="27" customWidth="1"/>
    <col min="15112" max="15112" width="10.28515625" style="27" customWidth="1"/>
    <col min="15113" max="15113" width="2.85546875" style="27" customWidth="1"/>
    <col min="15114" max="15119" width="8.5703125" style="27" customWidth="1"/>
    <col min="15120" max="15120" width="3.5703125" style="27" customWidth="1"/>
    <col min="15121" max="15121" width="9" style="27" customWidth="1"/>
    <col min="15122" max="15122" width="10.28515625" style="27" customWidth="1"/>
    <col min="15123" max="15123" width="9" style="27" customWidth="1"/>
    <col min="15124" max="15124" width="10.5703125" style="27" customWidth="1"/>
    <col min="15125" max="15125" width="9.140625" style="27" customWidth="1"/>
    <col min="15126" max="15126" width="10.5703125" style="27" customWidth="1"/>
    <col min="15127" max="15127" width="8.85546875" style="27"/>
    <col min="15128" max="15128" width="11.7109375" style="27" customWidth="1"/>
    <col min="15129" max="15340" width="8.85546875" style="27"/>
    <col min="15341" max="15341" width="42.140625" style="27" customWidth="1"/>
    <col min="15342" max="15342" width="18.7109375" style="27" customWidth="1"/>
    <col min="15343" max="15343" width="19.140625" style="27" customWidth="1"/>
    <col min="15344" max="15344" width="11.7109375" style="27" customWidth="1"/>
    <col min="15345" max="15345" width="8.85546875" style="27"/>
    <col min="15346" max="15346" width="13.42578125" style="27" customWidth="1"/>
    <col min="15347" max="15348" width="8.85546875" style="27"/>
    <col min="15349" max="15349" width="13.5703125" style="27" customWidth="1"/>
    <col min="15350" max="15350" width="34.28515625" style="27" customWidth="1"/>
    <col min="15351" max="15352" width="16.28515625" style="27" customWidth="1"/>
    <col min="15353" max="15353" width="11" style="27" customWidth="1"/>
    <col min="15354" max="15354" width="14.5703125" style="27" customWidth="1"/>
    <col min="15355" max="15355" width="3.140625" style="27" customWidth="1"/>
    <col min="15356" max="15361" width="9.5703125" style="27" customWidth="1"/>
    <col min="15362" max="15362" width="3.42578125" style="27" customWidth="1"/>
    <col min="15363" max="15363" width="9.7109375" style="27" customWidth="1"/>
    <col min="15364" max="15364" width="10.28515625" style="27" customWidth="1"/>
    <col min="15365" max="15365" width="9.7109375" style="27" customWidth="1"/>
    <col min="15366" max="15366" width="10.140625" style="27" customWidth="1"/>
    <col min="15367" max="15367" width="9.7109375" style="27" customWidth="1"/>
    <col min="15368" max="15368" width="10.28515625" style="27" customWidth="1"/>
    <col min="15369" max="15369" width="2.85546875" style="27" customWidth="1"/>
    <col min="15370" max="15375" width="8.5703125" style="27" customWidth="1"/>
    <col min="15376" max="15376" width="3.5703125" style="27" customWidth="1"/>
    <col min="15377" max="15377" width="9" style="27" customWidth="1"/>
    <col min="15378" max="15378" width="10.28515625" style="27" customWidth="1"/>
    <col min="15379" max="15379" width="9" style="27" customWidth="1"/>
    <col min="15380" max="15380" width="10.5703125" style="27" customWidth="1"/>
    <col min="15381" max="15381" width="9.140625" style="27" customWidth="1"/>
    <col min="15382" max="15382" width="10.5703125" style="27" customWidth="1"/>
    <col min="15383" max="15383" width="8.85546875" style="27"/>
    <col min="15384" max="15384" width="11.7109375" style="27" customWidth="1"/>
    <col min="15385" max="15596" width="8.85546875" style="27"/>
    <col min="15597" max="15597" width="42.140625" style="27" customWidth="1"/>
    <col min="15598" max="15598" width="18.7109375" style="27" customWidth="1"/>
    <col min="15599" max="15599" width="19.140625" style="27" customWidth="1"/>
    <col min="15600" max="15600" width="11.7109375" style="27" customWidth="1"/>
    <col min="15601" max="15601" width="8.85546875" style="27"/>
    <col min="15602" max="15602" width="13.42578125" style="27" customWidth="1"/>
    <col min="15603" max="15604" width="8.85546875" style="27"/>
    <col min="15605" max="15605" width="13.5703125" style="27" customWidth="1"/>
    <col min="15606" max="15606" width="34.28515625" style="27" customWidth="1"/>
    <col min="15607" max="15608" width="16.28515625" style="27" customWidth="1"/>
    <col min="15609" max="15609" width="11" style="27" customWidth="1"/>
    <col min="15610" max="15610" width="14.5703125" style="27" customWidth="1"/>
    <col min="15611" max="15611" width="3.140625" style="27" customWidth="1"/>
    <col min="15612" max="15617" width="9.5703125" style="27" customWidth="1"/>
    <col min="15618" max="15618" width="3.42578125" style="27" customWidth="1"/>
    <col min="15619" max="15619" width="9.7109375" style="27" customWidth="1"/>
    <col min="15620" max="15620" width="10.28515625" style="27" customWidth="1"/>
    <col min="15621" max="15621" width="9.7109375" style="27" customWidth="1"/>
    <col min="15622" max="15622" width="10.140625" style="27" customWidth="1"/>
    <col min="15623" max="15623" width="9.7109375" style="27" customWidth="1"/>
    <col min="15624" max="15624" width="10.28515625" style="27" customWidth="1"/>
    <col min="15625" max="15625" width="2.85546875" style="27" customWidth="1"/>
    <col min="15626" max="15631" width="8.5703125" style="27" customWidth="1"/>
    <col min="15632" max="15632" width="3.5703125" style="27" customWidth="1"/>
    <col min="15633" max="15633" width="9" style="27" customWidth="1"/>
    <col min="15634" max="15634" width="10.28515625" style="27" customWidth="1"/>
    <col min="15635" max="15635" width="9" style="27" customWidth="1"/>
    <col min="15636" max="15636" width="10.5703125" style="27" customWidth="1"/>
    <col min="15637" max="15637" width="9.140625" style="27" customWidth="1"/>
    <col min="15638" max="15638" width="10.5703125" style="27" customWidth="1"/>
    <col min="15639" max="15639" width="8.85546875" style="27"/>
    <col min="15640" max="15640" width="11.7109375" style="27" customWidth="1"/>
    <col min="15641" max="15852" width="8.85546875" style="27"/>
    <col min="15853" max="15853" width="42.140625" style="27" customWidth="1"/>
    <col min="15854" max="15854" width="18.7109375" style="27" customWidth="1"/>
    <col min="15855" max="15855" width="19.140625" style="27" customWidth="1"/>
    <col min="15856" max="15856" width="11.7109375" style="27" customWidth="1"/>
    <col min="15857" max="15857" width="8.85546875" style="27"/>
    <col min="15858" max="15858" width="13.42578125" style="27" customWidth="1"/>
    <col min="15859" max="15860" width="8.85546875" style="27"/>
    <col min="15861" max="15861" width="13.5703125" style="27" customWidth="1"/>
    <col min="15862" max="15862" width="34.28515625" style="27" customWidth="1"/>
    <col min="15863" max="15864" width="16.28515625" style="27" customWidth="1"/>
    <col min="15865" max="15865" width="11" style="27" customWidth="1"/>
    <col min="15866" max="15866" width="14.5703125" style="27" customWidth="1"/>
    <col min="15867" max="15867" width="3.140625" style="27" customWidth="1"/>
    <col min="15868" max="15873" width="9.5703125" style="27" customWidth="1"/>
    <col min="15874" max="15874" width="3.42578125" style="27" customWidth="1"/>
    <col min="15875" max="15875" width="9.7109375" style="27" customWidth="1"/>
    <col min="15876" max="15876" width="10.28515625" style="27" customWidth="1"/>
    <col min="15877" max="15877" width="9.7109375" style="27" customWidth="1"/>
    <col min="15878" max="15878" width="10.140625" style="27" customWidth="1"/>
    <col min="15879" max="15879" width="9.7109375" style="27" customWidth="1"/>
    <col min="15880" max="15880" width="10.28515625" style="27" customWidth="1"/>
    <col min="15881" max="15881" width="2.85546875" style="27" customWidth="1"/>
    <col min="15882" max="15887" width="8.5703125" style="27" customWidth="1"/>
    <col min="15888" max="15888" width="3.5703125" style="27" customWidth="1"/>
    <col min="15889" max="15889" width="9" style="27" customWidth="1"/>
    <col min="15890" max="15890" width="10.28515625" style="27" customWidth="1"/>
    <col min="15891" max="15891" width="9" style="27" customWidth="1"/>
    <col min="15892" max="15892" width="10.5703125" style="27" customWidth="1"/>
    <col min="15893" max="15893" width="9.140625" style="27" customWidth="1"/>
    <col min="15894" max="15894" width="10.5703125" style="27" customWidth="1"/>
    <col min="15895" max="15895" width="8.85546875" style="27"/>
    <col min="15896" max="15896" width="11.7109375" style="27" customWidth="1"/>
    <col min="15897" max="16108" width="8.85546875" style="27"/>
    <col min="16109" max="16109" width="42.140625" style="27" customWidth="1"/>
    <col min="16110" max="16110" width="18.7109375" style="27" customWidth="1"/>
    <col min="16111" max="16111" width="19.140625" style="27" customWidth="1"/>
    <col min="16112" max="16112" width="11.7109375" style="27" customWidth="1"/>
    <col min="16113" max="16113" width="8.85546875" style="27"/>
    <col min="16114" max="16114" width="13.42578125" style="27" customWidth="1"/>
    <col min="16115" max="16116" width="8.85546875" style="27"/>
    <col min="16117" max="16117" width="13.5703125" style="27" customWidth="1"/>
    <col min="16118" max="16118" width="34.28515625" style="27" customWidth="1"/>
    <col min="16119" max="16120" width="16.28515625" style="27" customWidth="1"/>
    <col min="16121" max="16121" width="11" style="27" customWidth="1"/>
    <col min="16122" max="16122" width="14.5703125" style="27" customWidth="1"/>
    <col min="16123" max="16123" width="3.140625" style="27" customWidth="1"/>
    <col min="16124" max="16129" width="9.5703125" style="27" customWidth="1"/>
    <col min="16130" max="16130" width="3.42578125" style="27" customWidth="1"/>
    <col min="16131" max="16131" width="9.7109375" style="27" customWidth="1"/>
    <col min="16132" max="16132" width="10.28515625" style="27" customWidth="1"/>
    <col min="16133" max="16133" width="9.7109375" style="27" customWidth="1"/>
    <col min="16134" max="16134" width="10.140625" style="27" customWidth="1"/>
    <col min="16135" max="16135" width="9.7109375" style="27" customWidth="1"/>
    <col min="16136" max="16136" width="10.28515625" style="27" customWidth="1"/>
    <col min="16137" max="16137" width="2.85546875" style="27" customWidth="1"/>
    <col min="16138" max="16143" width="8.5703125" style="27" customWidth="1"/>
    <col min="16144" max="16144" width="3.5703125" style="27" customWidth="1"/>
    <col min="16145" max="16145" width="9" style="27" customWidth="1"/>
    <col min="16146" max="16146" width="10.28515625" style="27" customWidth="1"/>
    <col min="16147" max="16147" width="9" style="27" customWidth="1"/>
    <col min="16148" max="16148" width="10.5703125" style="27" customWidth="1"/>
    <col min="16149" max="16149" width="9.140625" style="27" customWidth="1"/>
    <col min="16150" max="16150" width="10.5703125" style="27" customWidth="1"/>
    <col min="16151" max="16151" width="8.85546875" style="27"/>
    <col min="16152" max="16152" width="11.7109375" style="27" customWidth="1"/>
    <col min="16153" max="16384" width="8.85546875" style="27"/>
  </cols>
  <sheetData>
    <row r="1" spans="1:26" x14ac:dyDescent="0.2">
      <c r="A1" s="26" t="s">
        <v>249</v>
      </c>
    </row>
    <row r="2" spans="1:26" x14ac:dyDescent="0.2">
      <c r="A2" s="30" t="s">
        <v>250</v>
      </c>
    </row>
    <row r="3" spans="1:26" ht="14.25" x14ac:dyDescent="0.2">
      <c r="A3" s="31" t="s">
        <v>251</v>
      </c>
      <c r="B3" s="32">
        <v>45016</v>
      </c>
      <c r="M3" s="33" t="s">
        <v>252</v>
      </c>
    </row>
    <row r="5" spans="1:26" x14ac:dyDescent="0.2">
      <c r="A5" s="26"/>
      <c r="M5" s="288" t="s">
        <v>253</v>
      </c>
      <c r="N5" s="288" t="s">
        <v>254</v>
      </c>
      <c r="O5" s="288" t="s">
        <v>254</v>
      </c>
      <c r="P5" s="288" t="s">
        <v>254</v>
      </c>
      <c r="R5" s="288" t="s">
        <v>149</v>
      </c>
      <c r="S5" s="288"/>
      <c r="T5" s="288"/>
      <c r="U5" s="288"/>
      <c r="V5" s="34"/>
      <c r="W5" s="288" t="s">
        <v>255</v>
      </c>
      <c r="X5" s="288"/>
    </row>
    <row r="6" spans="1:26" ht="38.25" x14ac:dyDescent="0.2">
      <c r="A6" s="35" t="s">
        <v>395</v>
      </c>
      <c r="B6" s="35" t="s">
        <v>256</v>
      </c>
      <c r="C6" s="34" t="s">
        <v>257</v>
      </c>
      <c r="D6" s="36" t="s">
        <v>258</v>
      </c>
      <c r="E6" s="36" t="s">
        <v>259</v>
      </c>
      <c r="F6" s="36" t="s">
        <v>260</v>
      </c>
      <c r="G6" s="36" t="s">
        <v>261</v>
      </c>
      <c r="H6" s="36" t="s">
        <v>262</v>
      </c>
      <c r="I6" s="36" t="s">
        <v>263</v>
      </c>
      <c r="J6" s="36" t="s">
        <v>264</v>
      </c>
      <c r="K6" s="36" t="s">
        <v>265</v>
      </c>
      <c r="M6" s="37" t="s">
        <v>266</v>
      </c>
      <c r="N6" s="37" t="s">
        <v>267</v>
      </c>
      <c r="O6" s="38" t="s">
        <v>148</v>
      </c>
      <c r="P6" s="38" t="s">
        <v>268</v>
      </c>
      <c r="R6" s="37" t="s">
        <v>269</v>
      </c>
      <c r="S6" s="38" t="s">
        <v>148</v>
      </c>
      <c r="T6" s="38" t="s">
        <v>270</v>
      </c>
      <c r="U6" s="37" t="s">
        <v>271</v>
      </c>
      <c r="V6" s="38"/>
      <c r="W6" s="38" t="s">
        <v>272</v>
      </c>
      <c r="X6" s="38" t="s">
        <v>273</v>
      </c>
    </row>
    <row r="7" spans="1:26" x14ac:dyDescent="0.2">
      <c r="A7" s="77" t="s">
        <v>394</v>
      </c>
      <c r="D7" s="28"/>
      <c r="F7" s="39"/>
      <c r="G7" s="28"/>
      <c r="H7" s="28"/>
      <c r="I7" s="39"/>
      <c r="J7" s="39"/>
      <c r="K7" s="40"/>
      <c r="N7" s="29"/>
      <c r="O7" s="29"/>
      <c r="P7" s="29"/>
      <c r="S7" s="29"/>
      <c r="T7" s="29"/>
      <c r="U7" s="29"/>
      <c r="V7" s="29"/>
      <c r="W7" s="29"/>
      <c r="X7" s="29"/>
    </row>
    <row r="8" spans="1:26" x14ac:dyDescent="0.2">
      <c r="A8" s="27" t="s">
        <v>274</v>
      </c>
      <c r="B8" s="27" t="s">
        <v>275</v>
      </c>
      <c r="C8" s="27" t="s">
        <v>276</v>
      </c>
      <c r="D8" s="28" t="s">
        <v>277</v>
      </c>
      <c r="E8" s="28" t="s">
        <v>278</v>
      </c>
      <c r="F8" s="39">
        <f>DATE(2012,4,2)</f>
        <v>41001</v>
      </c>
      <c r="G8" s="28">
        <v>2</v>
      </c>
      <c r="H8" s="28">
        <v>3</v>
      </c>
      <c r="I8" s="39">
        <f>DATE(2013,3,31)</f>
        <v>41364</v>
      </c>
      <c r="J8" s="39">
        <f t="shared" ref="J8:J19" si="0">$B$3</f>
        <v>45016</v>
      </c>
      <c r="K8" s="40">
        <f>1+(J8-I8)/365</f>
        <v>11.005479452054795</v>
      </c>
      <c r="M8" s="29">
        <v>1000</v>
      </c>
      <c r="N8" s="29">
        <v>0</v>
      </c>
      <c r="O8" s="29">
        <v>0</v>
      </c>
      <c r="P8" s="29">
        <f>SUM(M8:O8)</f>
        <v>1000</v>
      </c>
      <c r="R8" s="29">
        <v>1000</v>
      </c>
      <c r="S8" s="29">
        <v>0</v>
      </c>
      <c r="T8" s="29">
        <f t="shared" ref="T8:T17" si="1">IF(K8&lt;H8,SLN(M8+N8+O8,0,H8),M8+N8+O8-R8-S8)</f>
        <v>0</v>
      </c>
      <c r="U8" s="29">
        <f>SUM(R8:T8)</f>
        <v>1000</v>
      </c>
      <c r="V8" s="29"/>
      <c r="W8" s="29">
        <f>M8-R8</f>
        <v>0</v>
      </c>
      <c r="X8" s="29">
        <f>P8-U8</f>
        <v>0</v>
      </c>
      <c r="Z8" s="29"/>
    </row>
    <row r="9" spans="1:26" x14ac:dyDescent="0.2">
      <c r="A9" s="27" t="s">
        <v>279</v>
      </c>
      <c r="B9" s="27" t="s">
        <v>275</v>
      </c>
      <c r="C9" s="27" t="s">
        <v>276</v>
      </c>
      <c r="D9" s="28" t="s">
        <v>277</v>
      </c>
      <c r="E9" s="28" t="s">
        <v>278</v>
      </c>
      <c r="F9" s="39">
        <f t="shared" ref="F9:F17" si="2">DATE(2012,4,2)</f>
        <v>41001</v>
      </c>
      <c r="G9" s="28">
        <v>1</v>
      </c>
      <c r="H9" s="28">
        <v>3</v>
      </c>
      <c r="I9" s="39">
        <f t="shared" ref="I9:I17" si="3">DATE(2013,3,31)</f>
        <v>41364</v>
      </c>
      <c r="J9" s="39">
        <f t="shared" si="0"/>
        <v>45016</v>
      </c>
      <c r="K9" s="40">
        <f t="shared" ref="K9:K19" si="4">1+(J9-I9)/365</f>
        <v>11.005479452054795</v>
      </c>
      <c r="M9" s="29">
        <v>750</v>
      </c>
      <c r="N9" s="29">
        <v>0</v>
      </c>
      <c r="O9" s="29">
        <v>0</v>
      </c>
      <c r="P9" s="29">
        <f t="shared" ref="P9:P19" si="5">SUM(M9:O9)</f>
        <v>750</v>
      </c>
      <c r="R9" s="29">
        <v>750</v>
      </c>
      <c r="S9" s="29">
        <v>0</v>
      </c>
      <c r="T9" s="29">
        <f t="shared" si="1"/>
        <v>0</v>
      </c>
      <c r="U9" s="29">
        <f t="shared" ref="U9:U18" si="6">SUM(R9:T9)</f>
        <v>750</v>
      </c>
      <c r="V9" s="29"/>
      <c r="W9" s="29">
        <f t="shared" ref="W9:W17" si="7">M9-R9</f>
        <v>0</v>
      </c>
      <c r="X9" s="29">
        <f t="shared" ref="X9:X17" si="8">P9-U9</f>
        <v>0</v>
      </c>
    </row>
    <row r="10" spans="1:26" x14ac:dyDescent="0.2">
      <c r="A10" s="27" t="s">
        <v>280</v>
      </c>
      <c r="B10" s="27" t="s">
        <v>275</v>
      </c>
      <c r="C10" s="27" t="s">
        <v>276</v>
      </c>
      <c r="D10" s="28" t="s">
        <v>277</v>
      </c>
      <c r="E10" s="28" t="s">
        <v>278</v>
      </c>
      <c r="F10" s="39">
        <f t="shared" si="2"/>
        <v>41001</v>
      </c>
      <c r="G10" s="28">
        <v>1</v>
      </c>
      <c r="H10" s="28">
        <v>3</v>
      </c>
      <c r="I10" s="39">
        <f t="shared" si="3"/>
        <v>41364</v>
      </c>
      <c r="J10" s="39">
        <f t="shared" si="0"/>
        <v>45016</v>
      </c>
      <c r="K10" s="40">
        <f t="shared" si="4"/>
        <v>11.005479452054795</v>
      </c>
      <c r="M10" s="29">
        <v>1100</v>
      </c>
      <c r="N10" s="29">
        <v>0</v>
      </c>
      <c r="O10" s="29">
        <v>0</v>
      </c>
      <c r="P10" s="29">
        <f t="shared" si="5"/>
        <v>1100</v>
      </c>
      <c r="R10" s="29">
        <v>1100</v>
      </c>
      <c r="S10" s="29">
        <v>0</v>
      </c>
      <c r="T10" s="29">
        <f t="shared" si="1"/>
        <v>0</v>
      </c>
      <c r="U10" s="29">
        <f>SUM(R10:T10)</f>
        <v>1100</v>
      </c>
      <c r="V10" s="29"/>
      <c r="W10" s="29">
        <f t="shared" si="7"/>
        <v>0</v>
      </c>
      <c r="X10" s="29">
        <f t="shared" si="8"/>
        <v>0</v>
      </c>
    </row>
    <row r="11" spans="1:26" x14ac:dyDescent="0.2">
      <c r="A11" s="27" t="s">
        <v>281</v>
      </c>
      <c r="B11" s="27" t="s">
        <v>282</v>
      </c>
      <c r="C11" s="27" t="s">
        <v>276</v>
      </c>
      <c r="D11" s="28" t="s">
        <v>277</v>
      </c>
      <c r="E11" s="28" t="s">
        <v>278</v>
      </c>
      <c r="F11" s="39">
        <f t="shared" si="2"/>
        <v>41001</v>
      </c>
      <c r="G11" s="28">
        <v>1</v>
      </c>
      <c r="H11" s="28">
        <v>3</v>
      </c>
      <c r="I11" s="39">
        <f t="shared" si="3"/>
        <v>41364</v>
      </c>
      <c r="J11" s="39">
        <f t="shared" si="0"/>
        <v>45016</v>
      </c>
      <c r="K11" s="40">
        <f t="shared" si="4"/>
        <v>11.005479452054795</v>
      </c>
      <c r="M11" s="29">
        <v>2000</v>
      </c>
      <c r="N11" s="29">
        <v>0</v>
      </c>
      <c r="O11" s="29">
        <v>0</v>
      </c>
      <c r="P11" s="29">
        <f t="shared" si="5"/>
        <v>2000</v>
      </c>
      <c r="R11" s="29">
        <v>2000</v>
      </c>
      <c r="S11" s="29">
        <v>0</v>
      </c>
      <c r="T11" s="29">
        <f t="shared" si="1"/>
        <v>0</v>
      </c>
      <c r="U11" s="29">
        <f t="shared" si="6"/>
        <v>2000</v>
      </c>
      <c r="V11" s="29"/>
      <c r="W11" s="29">
        <f t="shared" si="7"/>
        <v>0</v>
      </c>
      <c r="X11" s="29">
        <f t="shared" si="8"/>
        <v>0</v>
      </c>
    </row>
    <row r="12" spans="1:26" x14ac:dyDescent="0.2">
      <c r="A12" s="27" t="s">
        <v>283</v>
      </c>
      <c r="B12" s="27" t="s">
        <v>284</v>
      </c>
      <c r="C12" s="27" t="s">
        <v>276</v>
      </c>
      <c r="D12" s="28" t="s">
        <v>277</v>
      </c>
      <c r="E12" s="28" t="s">
        <v>278</v>
      </c>
      <c r="F12" s="39">
        <f t="shared" si="2"/>
        <v>41001</v>
      </c>
      <c r="G12" s="28">
        <v>1</v>
      </c>
      <c r="H12" s="28">
        <v>3</v>
      </c>
      <c r="I12" s="39">
        <f t="shared" si="3"/>
        <v>41364</v>
      </c>
      <c r="J12" s="39">
        <f t="shared" si="0"/>
        <v>45016</v>
      </c>
      <c r="K12" s="40">
        <f t="shared" si="4"/>
        <v>11.005479452054795</v>
      </c>
      <c r="M12" s="29">
        <v>1400</v>
      </c>
      <c r="N12" s="29">
        <v>0</v>
      </c>
      <c r="O12" s="29">
        <v>0</v>
      </c>
      <c r="P12" s="29">
        <f t="shared" si="5"/>
        <v>1400</v>
      </c>
      <c r="R12" s="29">
        <v>1400</v>
      </c>
      <c r="S12" s="29">
        <v>0</v>
      </c>
      <c r="T12" s="29">
        <f t="shared" si="1"/>
        <v>0</v>
      </c>
      <c r="U12" s="29">
        <f t="shared" si="6"/>
        <v>1400</v>
      </c>
      <c r="V12" s="29"/>
      <c r="W12" s="29">
        <f t="shared" si="7"/>
        <v>0</v>
      </c>
      <c r="X12" s="29">
        <f t="shared" si="8"/>
        <v>0</v>
      </c>
    </row>
    <row r="13" spans="1:26" x14ac:dyDescent="0.2">
      <c r="A13" s="27" t="s">
        <v>285</v>
      </c>
      <c r="B13" s="27" t="s">
        <v>284</v>
      </c>
      <c r="C13" s="27" t="s">
        <v>276</v>
      </c>
      <c r="D13" s="28" t="s">
        <v>277</v>
      </c>
      <c r="E13" s="28" t="s">
        <v>278</v>
      </c>
      <c r="F13" s="39">
        <f t="shared" si="2"/>
        <v>41001</v>
      </c>
      <c r="G13" s="28">
        <v>1</v>
      </c>
      <c r="H13" s="28">
        <v>3</v>
      </c>
      <c r="I13" s="39">
        <f t="shared" si="3"/>
        <v>41364</v>
      </c>
      <c r="J13" s="39">
        <f t="shared" si="0"/>
        <v>45016</v>
      </c>
      <c r="K13" s="40">
        <f t="shared" si="4"/>
        <v>11.005479452054795</v>
      </c>
      <c r="M13" s="29">
        <v>1500</v>
      </c>
      <c r="N13" s="29">
        <v>0</v>
      </c>
      <c r="O13" s="29">
        <v>0</v>
      </c>
      <c r="P13" s="29">
        <f t="shared" si="5"/>
        <v>1500</v>
      </c>
      <c r="R13" s="29">
        <v>1500</v>
      </c>
      <c r="S13" s="29">
        <v>0</v>
      </c>
      <c r="T13" s="29">
        <f t="shared" si="1"/>
        <v>0</v>
      </c>
      <c r="U13" s="29">
        <f t="shared" si="6"/>
        <v>1500</v>
      </c>
      <c r="V13" s="29"/>
      <c r="W13" s="29">
        <f t="shared" si="7"/>
        <v>0</v>
      </c>
      <c r="X13" s="29">
        <f t="shared" si="8"/>
        <v>0</v>
      </c>
    </row>
    <row r="14" spans="1:26" x14ac:dyDescent="0.2">
      <c r="A14" s="27" t="s">
        <v>286</v>
      </c>
      <c r="B14" s="27" t="s">
        <v>284</v>
      </c>
      <c r="C14" s="27" t="s">
        <v>276</v>
      </c>
      <c r="D14" s="28" t="s">
        <v>277</v>
      </c>
      <c r="E14" s="28" t="s">
        <v>278</v>
      </c>
      <c r="F14" s="39">
        <f t="shared" si="2"/>
        <v>41001</v>
      </c>
      <c r="G14" s="28">
        <v>1</v>
      </c>
      <c r="H14" s="28">
        <v>3</v>
      </c>
      <c r="I14" s="39">
        <f t="shared" si="3"/>
        <v>41364</v>
      </c>
      <c r="J14" s="39">
        <f t="shared" si="0"/>
        <v>45016</v>
      </c>
      <c r="K14" s="40">
        <f t="shared" si="4"/>
        <v>11.005479452054795</v>
      </c>
      <c r="M14" s="29">
        <v>800</v>
      </c>
      <c r="N14" s="29">
        <v>0</v>
      </c>
      <c r="O14" s="29">
        <v>0</v>
      </c>
      <c r="P14" s="29">
        <f t="shared" si="5"/>
        <v>800</v>
      </c>
      <c r="R14" s="29">
        <v>800</v>
      </c>
      <c r="S14" s="29">
        <v>0</v>
      </c>
      <c r="T14" s="29">
        <f t="shared" si="1"/>
        <v>0</v>
      </c>
      <c r="U14" s="29">
        <f t="shared" si="6"/>
        <v>800</v>
      </c>
      <c r="V14" s="29"/>
      <c r="W14" s="29">
        <f t="shared" si="7"/>
        <v>0</v>
      </c>
      <c r="X14" s="29">
        <f t="shared" si="8"/>
        <v>0</v>
      </c>
    </row>
    <row r="15" spans="1:26" x14ac:dyDescent="0.2">
      <c r="A15" s="27" t="s">
        <v>287</v>
      </c>
      <c r="B15" s="27" t="s">
        <v>288</v>
      </c>
      <c r="C15" s="27" t="s">
        <v>276</v>
      </c>
      <c r="D15" s="28" t="s">
        <v>277</v>
      </c>
      <c r="E15" s="28" t="s">
        <v>278</v>
      </c>
      <c r="F15" s="39">
        <f t="shared" si="2"/>
        <v>41001</v>
      </c>
      <c r="G15" s="28">
        <v>1</v>
      </c>
      <c r="H15" s="28">
        <v>3</v>
      </c>
      <c r="I15" s="39">
        <f t="shared" si="3"/>
        <v>41364</v>
      </c>
      <c r="J15" s="39">
        <f t="shared" si="0"/>
        <v>45016</v>
      </c>
      <c r="K15" s="40">
        <f t="shared" si="4"/>
        <v>11.005479452054795</v>
      </c>
      <c r="M15" s="29">
        <v>600</v>
      </c>
      <c r="N15" s="29">
        <v>0</v>
      </c>
      <c r="O15" s="29">
        <v>0</v>
      </c>
      <c r="P15" s="29">
        <f>SUM(M15:O15)</f>
        <v>600</v>
      </c>
      <c r="R15" s="29">
        <v>600</v>
      </c>
      <c r="S15" s="29">
        <v>0</v>
      </c>
      <c r="T15" s="29">
        <f t="shared" si="1"/>
        <v>0</v>
      </c>
      <c r="U15" s="29">
        <f t="shared" si="6"/>
        <v>600</v>
      </c>
      <c r="V15" s="29"/>
      <c r="W15" s="29">
        <f t="shared" si="7"/>
        <v>0</v>
      </c>
      <c r="X15" s="29">
        <f t="shared" si="8"/>
        <v>0</v>
      </c>
    </row>
    <row r="16" spans="1:26" x14ac:dyDescent="0.2">
      <c r="A16" s="27" t="s">
        <v>289</v>
      </c>
      <c r="B16" s="27" t="s">
        <v>288</v>
      </c>
      <c r="C16" s="27" t="s">
        <v>276</v>
      </c>
      <c r="D16" s="28" t="s">
        <v>277</v>
      </c>
      <c r="E16" s="28" t="s">
        <v>278</v>
      </c>
      <c r="F16" s="39">
        <f t="shared" si="2"/>
        <v>41001</v>
      </c>
      <c r="G16" s="28">
        <v>1</v>
      </c>
      <c r="H16" s="28">
        <v>3</v>
      </c>
      <c r="I16" s="39">
        <f t="shared" si="3"/>
        <v>41364</v>
      </c>
      <c r="J16" s="39">
        <f t="shared" si="0"/>
        <v>45016</v>
      </c>
      <c r="K16" s="40">
        <f t="shared" si="4"/>
        <v>11.005479452054795</v>
      </c>
      <c r="M16" s="29">
        <v>600</v>
      </c>
      <c r="N16" s="29">
        <v>0</v>
      </c>
      <c r="O16" s="29">
        <v>0</v>
      </c>
      <c r="P16" s="29">
        <f t="shared" si="5"/>
        <v>600</v>
      </c>
      <c r="R16" s="29">
        <v>600</v>
      </c>
      <c r="S16" s="29">
        <v>0</v>
      </c>
      <c r="T16" s="29">
        <f>IF(K16&lt;H16,SLN(M16+N16+O16,0,H16),M16+N16+O16-R16-S16)</f>
        <v>0</v>
      </c>
      <c r="U16" s="29">
        <f t="shared" si="6"/>
        <v>600</v>
      </c>
      <c r="V16" s="29"/>
      <c r="W16" s="29">
        <f t="shared" si="7"/>
        <v>0</v>
      </c>
      <c r="X16" s="29">
        <f t="shared" si="8"/>
        <v>0</v>
      </c>
    </row>
    <row r="17" spans="1:24" ht="12" customHeight="1" x14ac:dyDescent="0.2">
      <c r="A17" s="27" t="s">
        <v>290</v>
      </c>
      <c r="B17" s="27" t="s">
        <v>288</v>
      </c>
      <c r="C17" s="27" t="s">
        <v>276</v>
      </c>
      <c r="D17" s="28" t="s">
        <v>277</v>
      </c>
      <c r="E17" s="28" t="s">
        <v>278</v>
      </c>
      <c r="F17" s="39">
        <f t="shared" si="2"/>
        <v>41001</v>
      </c>
      <c r="G17" s="28">
        <v>1</v>
      </c>
      <c r="H17" s="28">
        <v>3</v>
      </c>
      <c r="I17" s="39">
        <f t="shared" si="3"/>
        <v>41364</v>
      </c>
      <c r="J17" s="39">
        <f t="shared" si="0"/>
        <v>45016</v>
      </c>
      <c r="K17" s="40">
        <f t="shared" si="4"/>
        <v>11.005479452054795</v>
      </c>
      <c r="M17" s="29">
        <v>1100</v>
      </c>
      <c r="N17" s="29">
        <v>0</v>
      </c>
      <c r="O17" s="29">
        <v>0</v>
      </c>
      <c r="P17" s="29">
        <f t="shared" si="5"/>
        <v>1100</v>
      </c>
      <c r="R17" s="29">
        <v>1100</v>
      </c>
      <c r="S17" s="29">
        <v>0</v>
      </c>
      <c r="T17" s="29">
        <f t="shared" si="1"/>
        <v>0</v>
      </c>
      <c r="U17" s="29">
        <f t="shared" si="6"/>
        <v>1100</v>
      </c>
      <c r="V17" s="29"/>
      <c r="W17" s="29">
        <f t="shared" si="7"/>
        <v>0</v>
      </c>
      <c r="X17" s="29">
        <f t="shared" si="8"/>
        <v>0</v>
      </c>
    </row>
    <row r="18" spans="1:24" x14ac:dyDescent="0.2">
      <c r="A18" s="27" t="s">
        <v>356</v>
      </c>
      <c r="B18" s="27" t="s">
        <v>357</v>
      </c>
      <c r="C18" s="27" t="s">
        <v>276</v>
      </c>
      <c r="D18" s="28" t="s">
        <v>277</v>
      </c>
      <c r="E18" s="28" t="s">
        <v>296</v>
      </c>
      <c r="F18" s="39">
        <v>42898</v>
      </c>
      <c r="G18" s="28">
        <v>1</v>
      </c>
      <c r="H18" s="28">
        <v>3</v>
      </c>
      <c r="I18" s="39">
        <v>43190</v>
      </c>
      <c r="J18" s="39">
        <f t="shared" si="0"/>
        <v>45016</v>
      </c>
      <c r="K18" s="40">
        <f t="shared" si="4"/>
        <v>6.0027397260273974</v>
      </c>
      <c r="M18" s="96">
        <v>609.6</v>
      </c>
      <c r="N18" s="96">
        <v>0</v>
      </c>
      <c r="O18" s="96">
        <v>0</v>
      </c>
      <c r="P18" s="96">
        <f t="shared" si="5"/>
        <v>609.6</v>
      </c>
      <c r="Q18" s="96"/>
      <c r="R18" s="96">
        <v>609.6</v>
      </c>
      <c r="S18" s="96">
        <v>0</v>
      </c>
      <c r="T18" s="96">
        <f>IF(K18&lt;H18,SLN(M18+N18+O18,0,H18),M18+N18+O18-R18-S18)</f>
        <v>0</v>
      </c>
      <c r="U18" s="96">
        <f t="shared" si="6"/>
        <v>609.6</v>
      </c>
      <c r="V18" s="96"/>
      <c r="W18" s="96">
        <f>M18-R18</f>
        <v>0</v>
      </c>
      <c r="X18" s="96">
        <f>P18-U18</f>
        <v>0</v>
      </c>
    </row>
    <row r="19" spans="1:24" x14ac:dyDescent="0.2">
      <c r="A19" s="27" t="s">
        <v>358</v>
      </c>
      <c r="B19" s="27" t="s">
        <v>357</v>
      </c>
      <c r="C19" s="27" t="s">
        <v>276</v>
      </c>
      <c r="D19" s="28" t="s">
        <v>277</v>
      </c>
      <c r="E19" s="28" t="s">
        <v>296</v>
      </c>
      <c r="F19" s="39">
        <v>42930</v>
      </c>
      <c r="G19" s="28">
        <v>1</v>
      </c>
      <c r="H19" s="28">
        <v>3</v>
      </c>
      <c r="I19" s="39">
        <v>43190</v>
      </c>
      <c r="J19" s="39">
        <f t="shared" si="0"/>
        <v>45016</v>
      </c>
      <c r="K19" s="40">
        <f t="shared" si="4"/>
        <v>6.0027397260273974</v>
      </c>
      <c r="M19" s="96">
        <v>516</v>
      </c>
      <c r="N19" s="96">
        <v>0</v>
      </c>
      <c r="O19" s="96">
        <v>0</v>
      </c>
      <c r="P19" s="96">
        <f t="shared" si="5"/>
        <v>516</v>
      </c>
      <c r="Q19" s="96"/>
      <c r="R19" s="96">
        <v>516</v>
      </c>
      <c r="S19" s="96">
        <v>0</v>
      </c>
      <c r="T19" s="96">
        <f>IF(K19&lt;H19,SLN(M19+N19+O19,0,H19),M19+N19+O19-R19-S19)</f>
        <v>0</v>
      </c>
      <c r="U19" s="96">
        <f>SUM(R19:T19)</f>
        <v>516</v>
      </c>
      <c r="V19" s="96"/>
      <c r="W19" s="96">
        <f>M19-R19</f>
        <v>0</v>
      </c>
      <c r="X19" s="96">
        <f>P19-U19</f>
        <v>0</v>
      </c>
    </row>
    <row r="20" spans="1:24" x14ac:dyDescent="0.2">
      <c r="D20" s="28"/>
      <c r="F20" s="39"/>
      <c r="G20" s="28"/>
      <c r="H20" s="28"/>
      <c r="K20" s="40"/>
      <c r="M20" s="97">
        <f>SUM(M8:M19)</f>
        <v>11975.6</v>
      </c>
      <c r="N20" s="97">
        <f>SUM(N8:N19)</f>
        <v>0</v>
      </c>
      <c r="O20" s="97">
        <f>SUM(O8:O19)</f>
        <v>0</v>
      </c>
      <c r="P20" s="97">
        <f>SUM(P8:P19)</f>
        <v>11975.6</v>
      </c>
      <c r="Q20" s="97"/>
      <c r="R20" s="97">
        <v>11975.6</v>
      </c>
      <c r="S20" s="97">
        <f>SUM(S8:S19)</f>
        <v>0</v>
      </c>
      <c r="T20" s="97">
        <f>SUM(T8:T19)</f>
        <v>0</v>
      </c>
      <c r="U20" s="97">
        <f>SUM(U8:U19)</f>
        <v>11975.6</v>
      </c>
      <c r="V20" s="97"/>
      <c r="W20" s="97">
        <f>SUM(W8:W19)</f>
        <v>0</v>
      </c>
      <c r="X20" s="97">
        <f>SUM(X8:X19)</f>
        <v>0</v>
      </c>
    </row>
    <row r="21" spans="1:24" x14ac:dyDescent="0.2">
      <c r="D21" s="28"/>
      <c r="F21" s="39"/>
      <c r="G21" s="28"/>
      <c r="H21" s="28"/>
      <c r="K21" s="40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</row>
    <row r="22" spans="1:24" x14ac:dyDescent="0.2">
      <c r="A22" s="27" t="s">
        <v>291</v>
      </c>
      <c r="B22" s="27" t="s">
        <v>292</v>
      </c>
      <c r="C22" s="27" t="s">
        <v>293</v>
      </c>
      <c r="D22" s="28" t="s">
        <v>277</v>
      </c>
      <c r="E22" s="28" t="s">
        <v>278</v>
      </c>
      <c r="F22" s="39">
        <f>DATE(2012,4,2)</f>
        <v>41001</v>
      </c>
      <c r="G22" s="28">
        <v>2</v>
      </c>
      <c r="H22" s="28">
        <v>3</v>
      </c>
      <c r="I22" s="39">
        <f>DATE(2013,3,31)</f>
        <v>41364</v>
      </c>
      <c r="J22" s="39">
        <f>$B$3</f>
        <v>45016</v>
      </c>
      <c r="K22" s="40">
        <f>1+(J22-I22)/365</f>
        <v>11.005479452054795</v>
      </c>
      <c r="M22" s="96">
        <v>960</v>
      </c>
      <c r="N22" s="96">
        <f>IF($C22="Fixtures and fittings",IF(#REF!&gt;0,#REF!,0),0)</f>
        <v>0</v>
      </c>
      <c r="O22" s="96">
        <v>0</v>
      </c>
      <c r="P22" s="96">
        <f>SUM(M22:O22)</f>
        <v>960</v>
      </c>
      <c r="Q22" s="96"/>
      <c r="R22" s="96">
        <v>960</v>
      </c>
      <c r="S22" s="96">
        <v>0</v>
      </c>
      <c r="T22" s="96">
        <f>IF(K22&lt;H22,SLN(M22+N22+O22,0,H22),M22+N22+O22-R22-S22)</f>
        <v>0</v>
      </c>
      <c r="U22" s="96">
        <f>SUM(R22:T22)</f>
        <v>960</v>
      </c>
      <c r="V22" s="96"/>
      <c r="W22" s="96">
        <f>M22-R22</f>
        <v>0</v>
      </c>
      <c r="X22" s="96">
        <f>P22-U22</f>
        <v>0</v>
      </c>
    </row>
    <row r="23" spans="1:24" x14ac:dyDescent="0.2">
      <c r="D23" s="28"/>
      <c r="F23" s="39"/>
      <c r="G23" s="28"/>
      <c r="H23" s="28"/>
      <c r="I23" s="39"/>
      <c r="J23" s="39"/>
      <c r="K23" s="40"/>
      <c r="M23" s="97">
        <f>SUM(M22)</f>
        <v>960</v>
      </c>
      <c r="N23" s="97">
        <f>SUM(N22)</f>
        <v>0</v>
      </c>
      <c r="O23" s="97">
        <f>SUM(O22)</f>
        <v>0</v>
      </c>
      <c r="P23" s="97">
        <f>SUM(P22)</f>
        <v>960</v>
      </c>
      <c r="Q23" s="96"/>
      <c r="R23" s="97">
        <v>960</v>
      </c>
      <c r="S23" s="97">
        <f>SUM(S22)</f>
        <v>0</v>
      </c>
      <c r="T23" s="97">
        <f>SUM(T22:T22)</f>
        <v>0</v>
      </c>
      <c r="U23" s="97">
        <f>SUM(U22)</f>
        <v>960</v>
      </c>
      <c r="V23" s="96"/>
      <c r="W23" s="97">
        <f>SUM(W22)</f>
        <v>0</v>
      </c>
      <c r="X23" s="97">
        <f>SUM(X22)</f>
        <v>0</v>
      </c>
    </row>
    <row r="24" spans="1:24" x14ac:dyDescent="0.2">
      <c r="D24" s="28"/>
      <c r="F24" s="39"/>
      <c r="G24" s="28"/>
      <c r="H24" s="28"/>
      <c r="I24" s="39"/>
      <c r="J24" s="39"/>
      <c r="K24" s="40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</row>
    <row r="25" spans="1:24" s="26" customFormat="1" x14ac:dyDescent="0.2">
      <c r="A25" s="26" t="s">
        <v>294</v>
      </c>
      <c r="D25" s="41"/>
      <c r="E25" s="41"/>
      <c r="F25" s="42"/>
      <c r="G25" s="41"/>
      <c r="H25" s="41"/>
      <c r="I25" s="42"/>
      <c r="J25" s="42"/>
      <c r="K25" s="43"/>
      <c r="M25" s="98">
        <f>M23+M20</f>
        <v>12935.6</v>
      </c>
      <c r="N25" s="98">
        <f>N23+N20</f>
        <v>0</v>
      </c>
      <c r="O25" s="98">
        <f>O23+O20</f>
        <v>0</v>
      </c>
      <c r="P25" s="99">
        <f>P23+P20</f>
        <v>12935.6</v>
      </c>
      <c r="Q25" s="100"/>
      <c r="R25" s="98">
        <v>12935.6</v>
      </c>
      <c r="S25" s="98">
        <f>S23+S20</f>
        <v>0</v>
      </c>
      <c r="T25" s="98">
        <f>T23+T20</f>
        <v>0</v>
      </c>
      <c r="U25" s="99">
        <f>U23+U20</f>
        <v>12935.6</v>
      </c>
      <c r="V25" s="100"/>
      <c r="W25" s="98">
        <f>W23+W20</f>
        <v>0</v>
      </c>
      <c r="X25" s="98">
        <f>X23+X20</f>
        <v>0</v>
      </c>
    </row>
    <row r="26" spans="1:24" ht="14.25" customHeight="1" x14ac:dyDescent="0.2">
      <c r="D26" s="28"/>
      <c r="F26" s="39"/>
      <c r="G26" s="28"/>
      <c r="H26" s="28"/>
      <c r="I26" s="39"/>
      <c r="J26" s="39"/>
      <c r="K26" s="40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</row>
    <row r="27" spans="1:24" ht="14.25" customHeight="1" x14ac:dyDescent="0.2">
      <c r="A27" s="77" t="s">
        <v>401</v>
      </c>
      <c r="D27" s="28"/>
      <c r="F27" s="39"/>
      <c r="G27" s="28"/>
      <c r="H27" s="28"/>
      <c r="I27" s="39"/>
      <c r="J27" s="39"/>
      <c r="K27" s="40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</row>
    <row r="28" spans="1:24" x14ac:dyDescent="0.2">
      <c r="A28" s="27" t="s">
        <v>383</v>
      </c>
      <c r="B28" s="27" t="s">
        <v>357</v>
      </c>
      <c r="C28" s="27" t="s">
        <v>276</v>
      </c>
      <c r="D28" s="28" t="s">
        <v>277</v>
      </c>
      <c r="E28" s="28" t="s">
        <v>384</v>
      </c>
      <c r="F28" s="39">
        <v>43444</v>
      </c>
      <c r="G28" s="28">
        <v>3</v>
      </c>
      <c r="H28" s="28">
        <v>3</v>
      </c>
      <c r="I28" s="39">
        <v>43555</v>
      </c>
      <c r="J28" s="39">
        <f>$B$3</f>
        <v>45016</v>
      </c>
      <c r="K28" s="40">
        <f>1+(J28-I28)/365</f>
        <v>5.0027397260273974</v>
      </c>
      <c r="M28" s="96">
        <v>530</v>
      </c>
      <c r="N28" s="96">
        <v>0</v>
      </c>
      <c r="O28" s="96">
        <v>0</v>
      </c>
      <c r="P28" s="96">
        <f>SUM(M28:O28)</f>
        <v>530</v>
      </c>
      <c r="Q28" s="96"/>
      <c r="R28" s="96">
        <v>530</v>
      </c>
      <c r="S28" s="96">
        <v>0</v>
      </c>
      <c r="T28" s="96">
        <f>IF(K28&lt;H28,SLN(M28+N28+O28,0,H28),M28+N28+O28-R28-S28)</f>
        <v>0</v>
      </c>
      <c r="U28" s="96">
        <f>SUM(R28:T28)</f>
        <v>530</v>
      </c>
      <c r="V28" s="96"/>
      <c r="W28" s="96">
        <f>M28-R28</f>
        <v>0</v>
      </c>
      <c r="X28" s="96">
        <f>P28-U28</f>
        <v>0</v>
      </c>
    </row>
    <row r="29" spans="1:24" ht="14.25" customHeight="1" x14ac:dyDescent="0.2">
      <c r="D29" s="28"/>
      <c r="F29" s="39"/>
      <c r="G29" s="28"/>
      <c r="H29" s="28"/>
      <c r="I29" s="39"/>
      <c r="J29" s="39"/>
      <c r="K29" s="40"/>
      <c r="M29" s="97">
        <f>SUM(M28)</f>
        <v>530</v>
      </c>
      <c r="N29" s="97">
        <f>SUM(N28)</f>
        <v>0</v>
      </c>
      <c r="O29" s="97">
        <f>SUM(O28)</f>
        <v>0</v>
      </c>
      <c r="P29" s="97">
        <f>SUM(P28)</f>
        <v>530</v>
      </c>
      <c r="Q29" s="96"/>
      <c r="R29" s="97">
        <v>530</v>
      </c>
      <c r="S29" s="97">
        <f>SUM(S28)</f>
        <v>0</v>
      </c>
      <c r="T29" s="97">
        <f>SUM(T28:T28)</f>
        <v>0</v>
      </c>
      <c r="U29" s="97">
        <f>SUM(U28)</f>
        <v>530</v>
      </c>
      <c r="V29" s="96"/>
      <c r="W29" s="97">
        <f>SUM(W28)</f>
        <v>0</v>
      </c>
      <c r="X29" s="97">
        <f>SUM(X28)</f>
        <v>0</v>
      </c>
    </row>
    <row r="30" spans="1:24" ht="14.25" customHeight="1" x14ac:dyDescent="0.2">
      <c r="D30" s="28"/>
      <c r="F30" s="39"/>
      <c r="G30" s="28"/>
      <c r="H30" s="28"/>
      <c r="I30" s="39"/>
      <c r="J30" s="39"/>
      <c r="K30" s="40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1:24" ht="14.25" customHeight="1" x14ac:dyDescent="0.2">
      <c r="A31" s="26" t="s">
        <v>396</v>
      </c>
      <c r="D31" s="28"/>
      <c r="F31" s="39"/>
      <c r="G31" s="28"/>
      <c r="H31" s="28"/>
      <c r="I31" s="39"/>
      <c r="J31" s="39"/>
      <c r="K31" s="40"/>
      <c r="M31" s="98">
        <f>SUM(M29)</f>
        <v>530</v>
      </c>
      <c r="N31" s="98">
        <f>SUM(N29)</f>
        <v>0</v>
      </c>
      <c r="O31" s="98">
        <f>SUM(O29)</f>
        <v>0</v>
      </c>
      <c r="P31" s="99">
        <f>SUM(P29)</f>
        <v>530</v>
      </c>
      <c r="Q31" s="100"/>
      <c r="R31" s="98">
        <v>530</v>
      </c>
      <c r="S31" s="98">
        <f t="shared" ref="S31:X31" si="9">SUM(S29)</f>
        <v>0</v>
      </c>
      <c r="T31" s="98">
        <f t="shared" si="9"/>
        <v>0</v>
      </c>
      <c r="U31" s="98">
        <f>SUM(U29)</f>
        <v>530</v>
      </c>
      <c r="V31" s="98"/>
      <c r="W31" s="98">
        <f t="shared" si="9"/>
        <v>0</v>
      </c>
      <c r="X31" s="98">
        <f t="shared" si="9"/>
        <v>0</v>
      </c>
    </row>
    <row r="32" spans="1:24" x14ac:dyDescent="0.2">
      <c r="D32" s="28"/>
      <c r="F32" s="39"/>
      <c r="G32" s="28"/>
      <c r="H32" s="28"/>
      <c r="I32" s="39"/>
      <c r="J32" s="39"/>
      <c r="K32" s="40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1:24" x14ac:dyDescent="0.2">
      <c r="A33" s="77" t="s">
        <v>397</v>
      </c>
      <c r="D33" s="28"/>
      <c r="F33" s="39"/>
      <c r="G33" s="28"/>
      <c r="H33" s="28"/>
      <c r="I33" s="39"/>
      <c r="J33" s="39"/>
      <c r="K33" s="40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</row>
    <row r="34" spans="1:24" x14ac:dyDescent="0.2">
      <c r="A34" s="27" t="s">
        <v>295</v>
      </c>
      <c r="B34" s="27" t="s">
        <v>288</v>
      </c>
      <c r="C34" s="27" t="s">
        <v>254</v>
      </c>
      <c r="D34" s="28" t="s">
        <v>277</v>
      </c>
      <c r="E34" s="28" t="s">
        <v>296</v>
      </c>
      <c r="F34" s="44">
        <f>DATE(2012,11,19)</f>
        <v>41232</v>
      </c>
      <c r="G34" s="28">
        <v>1</v>
      </c>
      <c r="H34" s="28">
        <v>5</v>
      </c>
      <c r="I34" s="39">
        <f>DATE(2013,3,31)</f>
        <v>41364</v>
      </c>
      <c r="J34" s="39">
        <f t="shared" ref="J34:J40" si="10">$B$3</f>
        <v>45016</v>
      </c>
      <c r="K34" s="40">
        <f t="shared" ref="K34:K40" si="11">1+(J34-I34)/365</f>
        <v>11.005479452054795</v>
      </c>
      <c r="M34" s="96">
        <v>783.6</v>
      </c>
      <c r="N34" s="96">
        <v>0</v>
      </c>
      <c r="O34" s="96">
        <v>0</v>
      </c>
      <c r="P34" s="96">
        <f t="shared" ref="P34:P42" si="12">SUM(M34:O34)</f>
        <v>783.6</v>
      </c>
      <c r="Q34" s="96"/>
      <c r="R34" s="96">
        <v>783.6</v>
      </c>
      <c r="S34" s="96">
        <f>IF($C34="Equipment",IF(#REF!&gt;0,#REF!,0),0)+IF($C34="Technical Equip",IF(#REF!&gt;0,#REF!,0),0)</f>
        <v>0</v>
      </c>
      <c r="T34" s="96">
        <f>IF(K34&lt;H34,SLN(M34+N34+O34,0,H34),M34+N34+O34-R34-S34)</f>
        <v>0</v>
      </c>
      <c r="U34" s="96">
        <f>SUM(R34:T34)</f>
        <v>783.6</v>
      </c>
      <c r="V34" s="96"/>
      <c r="W34" s="96">
        <f>M34-R34-T34</f>
        <v>0</v>
      </c>
      <c r="X34" s="96">
        <f t="shared" ref="X34:X42" si="13">P34-U34</f>
        <v>0</v>
      </c>
    </row>
    <row r="35" spans="1:24" x14ac:dyDescent="0.2">
      <c r="A35" s="27" t="s">
        <v>297</v>
      </c>
      <c r="B35" s="27" t="s">
        <v>298</v>
      </c>
      <c r="C35" s="27" t="s">
        <v>254</v>
      </c>
      <c r="D35" s="28" t="s">
        <v>277</v>
      </c>
      <c r="E35" s="28" t="s">
        <v>278</v>
      </c>
      <c r="F35" s="39">
        <f>DATE(2012,4,2)</f>
        <v>41001</v>
      </c>
      <c r="G35" s="28">
        <v>1</v>
      </c>
      <c r="H35" s="28">
        <v>5</v>
      </c>
      <c r="I35" s="39">
        <f>DATE(2013,3,31)</f>
        <v>41364</v>
      </c>
      <c r="J35" s="39">
        <f t="shared" si="10"/>
        <v>45016</v>
      </c>
      <c r="K35" s="40">
        <f t="shared" si="11"/>
        <v>11.005479452054795</v>
      </c>
      <c r="M35" s="96">
        <v>700</v>
      </c>
      <c r="N35" s="96">
        <v>0</v>
      </c>
      <c r="O35" s="96">
        <v>0</v>
      </c>
      <c r="P35" s="96">
        <f t="shared" si="12"/>
        <v>700</v>
      </c>
      <c r="Q35" s="96"/>
      <c r="R35" s="96">
        <v>700</v>
      </c>
      <c r="S35" s="96">
        <f>IF($C35="Equipment",IF(#REF!&gt;0,#REF!,0),0)+IF($C35="Technical Equip",IF(#REF!&gt;0,#REF!,0),0)+IF($C35="Youth Equipment",IF(#REF!&gt;0,#REF!,0),0)</f>
        <v>0</v>
      </c>
      <c r="T35" s="96">
        <f t="shared" ref="T35:T42" si="14">IF(K35&lt;H35,SLN(M35+N35+O35,0,H35),M35+N35+O35-R35-S35)</f>
        <v>0</v>
      </c>
      <c r="U35" s="96">
        <f t="shared" ref="U35:U41" si="15">SUM(R35:T35)</f>
        <v>700</v>
      </c>
      <c r="V35" s="96"/>
      <c r="W35" s="96">
        <f>M35-R35-T35</f>
        <v>0</v>
      </c>
      <c r="X35" s="96">
        <f t="shared" si="13"/>
        <v>0</v>
      </c>
    </row>
    <row r="36" spans="1:24" x14ac:dyDescent="0.2">
      <c r="A36" s="27" t="s">
        <v>299</v>
      </c>
      <c r="B36" s="27" t="s">
        <v>300</v>
      </c>
      <c r="C36" s="27" t="s">
        <v>254</v>
      </c>
      <c r="D36" s="28" t="s">
        <v>277</v>
      </c>
      <c r="E36" s="28" t="s">
        <v>301</v>
      </c>
      <c r="F36" s="39">
        <v>41863</v>
      </c>
      <c r="G36" s="28">
        <v>1</v>
      </c>
      <c r="H36" s="28">
        <v>5</v>
      </c>
      <c r="I36" s="39">
        <f>DATE(2015,3,31)</f>
        <v>42094</v>
      </c>
      <c r="J36" s="39">
        <f t="shared" si="10"/>
        <v>45016</v>
      </c>
      <c r="K36" s="40">
        <f t="shared" si="11"/>
        <v>9.0054794520547947</v>
      </c>
      <c r="M36" s="96">
        <v>2155.1999999999998</v>
      </c>
      <c r="N36" s="96">
        <v>0</v>
      </c>
      <c r="O36" s="96">
        <v>0</v>
      </c>
      <c r="P36" s="96">
        <f t="shared" si="12"/>
        <v>2155.1999999999998</v>
      </c>
      <c r="Q36" s="96"/>
      <c r="R36" s="96">
        <v>2155.1999999999998</v>
      </c>
      <c r="S36" s="96">
        <f>IF($C36="Equipment",IF(#REF!&gt;0,#REF!,0),0)+IF($C36="Technical Equip",IF(#REF!&gt;0,#REF!,0),0)+IF($C36="Youth Equipment",IF(#REF!&gt;0,#REF!,0),0)</f>
        <v>0</v>
      </c>
      <c r="T36" s="96">
        <f>IF(K36&lt;H36,SLN(M36+N36+O36,0,H36),M36+N36+O36-R36-S36)</f>
        <v>0</v>
      </c>
      <c r="U36" s="96">
        <f>SUM(R36:T36)</f>
        <v>2155.1999999999998</v>
      </c>
      <c r="V36" s="96"/>
      <c r="W36" s="96">
        <f t="shared" ref="W36:W43" si="16">M36-R36</f>
        <v>0</v>
      </c>
      <c r="X36" s="96">
        <f t="shared" si="13"/>
        <v>0</v>
      </c>
    </row>
    <row r="37" spans="1:24" x14ac:dyDescent="0.2">
      <c r="A37" s="27" t="s">
        <v>302</v>
      </c>
      <c r="B37" s="27" t="s">
        <v>300</v>
      </c>
      <c r="C37" s="27" t="s">
        <v>254</v>
      </c>
      <c r="D37" s="28" t="s">
        <v>277</v>
      </c>
      <c r="E37" s="28" t="s">
        <v>301</v>
      </c>
      <c r="F37" s="39">
        <v>41864</v>
      </c>
      <c r="G37" s="28">
        <v>1</v>
      </c>
      <c r="H37" s="28">
        <v>5</v>
      </c>
      <c r="I37" s="39">
        <f>DATE(2015,3,31)</f>
        <v>42094</v>
      </c>
      <c r="J37" s="39">
        <f t="shared" si="10"/>
        <v>45016</v>
      </c>
      <c r="K37" s="40">
        <f t="shared" si="11"/>
        <v>9.0054794520547947</v>
      </c>
      <c r="M37" s="96">
        <v>840</v>
      </c>
      <c r="N37" s="96">
        <v>0</v>
      </c>
      <c r="O37" s="96">
        <v>0</v>
      </c>
      <c r="P37" s="96">
        <f t="shared" si="12"/>
        <v>840</v>
      </c>
      <c r="Q37" s="96"/>
      <c r="R37" s="96">
        <v>840</v>
      </c>
      <c r="S37" s="96">
        <f>IF($C37="Equipment",IF(#REF!&gt;0,#REF!,0),0)+IF($C37="Technical Equip",IF(#REF!&gt;0,#REF!,0),0)+IF($C37="Youth Equipment",IF(#REF!&gt;0,#REF!,0),0)</f>
        <v>0</v>
      </c>
      <c r="T37" s="96">
        <f t="shared" si="14"/>
        <v>0</v>
      </c>
      <c r="U37" s="96">
        <f t="shared" si="15"/>
        <v>840</v>
      </c>
      <c r="V37" s="96"/>
      <c r="W37" s="96">
        <f t="shared" si="16"/>
        <v>0</v>
      </c>
      <c r="X37" s="96">
        <f t="shared" si="13"/>
        <v>0</v>
      </c>
    </row>
    <row r="38" spans="1:24" x14ac:dyDescent="0.2">
      <c r="A38" s="27" t="s">
        <v>303</v>
      </c>
      <c r="B38" s="27" t="s">
        <v>292</v>
      </c>
      <c r="C38" s="27" t="s">
        <v>254</v>
      </c>
      <c r="D38" s="28" t="s">
        <v>277</v>
      </c>
      <c r="E38" s="28" t="s">
        <v>304</v>
      </c>
      <c r="F38" s="39"/>
      <c r="G38" s="28">
        <v>1</v>
      </c>
      <c r="H38" s="28">
        <v>5</v>
      </c>
      <c r="I38" s="39">
        <f>DATE(2015,3,31)</f>
        <v>42094</v>
      </c>
      <c r="J38" s="39">
        <f t="shared" si="10"/>
        <v>45016</v>
      </c>
      <c r="K38" s="40">
        <f t="shared" si="11"/>
        <v>9.0054794520547947</v>
      </c>
      <c r="M38" s="96">
        <v>210</v>
      </c>
      <c r="N38" s="96">
        <v>0</v>
      </c>
      <c r="O38" s="96">
        <v>0</v>
      </c>
      <c r="P38" s="96">
        <f t="shared" si="12"/>
        <v>210</v>
      </c>
      <c r="Q38" s="96"/>
      <c r="R38" s="96">
        <v>210</v>
      </c>
      <c r="S38" s="96">
        <v>0</v>
      </c>
      <c r="T38" s="96">
        <f t="shared" si="14"/>
        <v>0</v>
      </c>
      <c r="U38" s="96">
        <f t="shared" si="15"/>
        <v>210</v>
      </c>
      <c r="V38" s="96"/>
      <c r="W38" s="96">
        <f t="shared" si="16"/>
        <v>0</v>
      </c>
      <c r="X38" s="96">
        <f t="shared" si="13"/>
        <v>0</v>
      </c>
    </row>
    <row r="39" spans="1:24" x14ac:dyDescent="0.2">
      <c r="A39" s="27" t="s">
        <v>305</v>
      </c>
      <c r="B39" s="27" t="s">
        <v>292</v>
      </c>
      <c r="C39" s="27" t="s">
        <v>254</v>
      </c>
      <c r="D39" s="28" t="s">
        <v>277</v>
      </c>
      <c r="E39" s="28" t="s">
        <v>304</v>
      </c>
      <c r="F39" s="39">
        <v>41880</v>
      </c>
      <c r="G39" s="28">
        <v>1</v>
      </c>
      <c r="H39" s="28">
        <v>5</v>
      </c>
      <c r="I39" s="39">
        <f>DATE(2015,3,31)</f>
        <v>42094</v>
      </c>
      <c r="J39" s="39">
        <f t="shared" si="10"/>
        <v>45016</v>
      </c>
      <c r="K39" s="40">
        <f t="shared" si="11"/>
        <v>9.0054794520547947</v>
      </c>
      <c r="M39" s="96">
        <v>1308</v>
      </c>
      <c r="N39" s="96">
        <v>0</v>
      </c>
      <c r="O39" s="96">
        <v>0</v>
      </c>
      <c r="P39" s="96">
        <f t="shared" si="12"/>
        <v>1308</v>
      </c>
      <c r="Q39" s="96"/>
      <c r="R39" s="96">
        <v>1308</v>
      </c>
      <c r="S39" s="96">
        <f>IF($C39="Equipment",IF(#REF!&gt;0,#REF!,0),0)+IF($C39="Technical Equip",IF(#REF!&gt;0,#REF!,0),0)+IF($C39="Youth Equipment",IF(#REF!&gt;0,#REF!,0),0)</f>
        <v>0</v>
      </c>
      <c r="T39" s="96">
        <f t="shared" si="14"/>
        <v>0</v>
      </c>
      <c r="U39" s="96">
        <f t="shared" si="15"/>
        <v>1308</v>
      </c>
      <c r="V39" s="96"/>
      <c r="W39" s="96">
        <f t="shared" si="16"/>
        <v>0</v>
      </c>
      <c r="X39" s="96">
        <f t="shared" si="13"/>
        <v>0</v>
      </c>
    </row>
    <row r="40" spans="1:24" ht="22.5" x14ac:dyDescent="0.2">
      <c r="A40" s="27" t="s">
        <v>306</v>
      </c>
      <c r="B40" s="27" t="s">
        <v>298</v>
      </c>
      <c r="C40" s="27" t="s">
        <v>254</v>
      </c>
      <c r="D40" s="28" t="s">
        <v>277</v>
      </c>
      <c r="E40" s="45" t="s">
        <v>307</v>
      </c>
      <c r="F40" s="39">
        <v>41855</v>
      </c>
      <c r="G40" s="28">
        <v>1</v>
      </c>
      <c r="H40" s="28">
        <v>5</v>
      </c>
      <c r="I40" s="39">
        <v>42094</v>
      </c>
      <c r="J40" s="39">
        <f t="shared" si="10"/>
        <v>45016</v>
      </c>
      <c r="K40" s="40">
        <f t="shared" si="11"/>
        <v>9.0054794520547947</v>
      </c>
      <c r="M40" s="96">
        <v>2170.73</v>
      </c>
      <c r="N40" s="96">
        <v>0</v>
      </c>
      <c r="O40" s="96">
        <v>0</v>
      </c>
      <c r="P40" s="96">
        <f t="shared" si="12"/>
        <v>2170.73</v>
      </c>
      <c r="Q40" s="96"/>
      <c r="R40" s="96">
        <v>2170.73</v>
      </c>
      <c r="S40" s="96">
        <f>IF($C40="Equipment",IF(#REF!&gt;0,#REF!,0),0)+IF($C40="Technical Equip",IF(#REF!&gt;0,#REF!,0),0)+IF($C40="Youth Equipment",IF(#REF!&gt;0,#REF!,0),0)</f>
        <v>0</v>
      </c>
      <c r="T40" s="96">
        <f t="shared" si="14"/>
        <v>0</v>
      </c>
      <c r="U40" s="96">
        <f>SUM(R40:T40)</f>
        <v>2170.73</v>
      </c>
      <c r="V40" s="96"/>
      <c r="W40" s="96">
        <f t="shared" si="16"/>
        <v>0</v>
      </c>
      <c r="X40" s="96">
        <f t="shared" si="13"/>
        <v>0</v>
      </c>
    </row>
    <row r="41" spans="1:24" x14ac:dyDescent="0.2">
      <c r="A41" s="27" t="s">
        <v>385</v>
      </c>
      <c r="B41" s="27" t="s">
        <v>386</v>
      </c>
      <c r="C41" s="27" t="s">
        <v>254</v>
      </c>
      <c r="D41" s="28" t="s">
        <v>277</v>
      </c>
      <c r="E41" s="28" t="s">
        <v>387</v>
      </c>
      <c r="F41" s="39" t="s">
        <v>388</v>
      </c>
      <c r="G41" s="28">
        <v>2</v>
      </c>
      <c r="H41" s="28">
        <v>5</v>
      </c>
      <c r="I41" s="39">
        <v>43555</v>
      </c>
      <c r="J41" s="39">
        <f>$B$3</f>
        <v>45016</v>
      </c>
      <c r="K41" s="40">
        <f>1+(J41-I41)/365</f>
        <v>5.0027397260273974</v>
      </c>
      <c r="M41" s="96">
        <v>1075.6099999999999</v>
      </c>
      <c r="N41" s="96">
        <v>0</v>
      </c>
      <c r="O41" s="96">
        <v>0</v>
      </c>
      <c r="P41" s="96">
        <f t="shared" si="12"/>
        <v>1075.6099999999999</v>
      </c>
      <c r="Q41" s="96"/>
      <c r="R41" s="96">
        <v>860.48799999999994</v>
      </c>
      <c r="S41" s="96">
        <f>IF($C41="Equipment",IF(#REF!&gt;0,#REF!,0),0)+IF($C41="Technical Equip",IF(#REF!&gt;0,#REF!,0),0)+IF($C41="Youth Equipment",IF(#REF!&gt;0,#REF!,0),0)</f>
        <v>0</v>
      </c>
      <c r="T41" s="96">
        <f>IF(K41&lt;H41,SLN(M41+N41+O41,0,H41),M41+N41+O41-R41-S41)</f>
        <v>215.12199999999996</v>
      </c>
      <c r="U41" s="96">
        <f t="shared" si="15"/>
        <v>1075.6099999999999</v>
      </c>
      <c r="V41" s="96"/>
      <c r="W41" s="96">
        <f t="shared" si="16"/>
        <v>215.12199999999996</v>
      </c>
      <c r="X41" s="96">
        <f>P41-U41</f>
        <v>0</v>
      </c>
    </row>
    <row r="42" spans="1:24" x14ac:dyDescent="0.2">
      <c r="A42" s="27" t="s">
        <v>391</v>
      </c>
      <c r="B42" s="27" t="s">
        <v>392</v>
      </c>
      <c r="C42" s="27" t="s">
        <v>254</v>
      </c>
      <c r="D42" s="28" t="s">
        <v>277</v>
      </c>
      <c r="E42" s="28" t="s">
        <v>393</v>
      </c>
      <c r="F42" s="39">
        <v>43284</v>
      </c>
      <c r="G42" s="28">
        <v>1</v>
      </c>
      <c r="H42" s="28">
        <v>5</v>
      </c>
      <c r="I42" s="39">
        <v>43555</v>
      </c>
      <c r="J42" s="39">
        <f>$B$3</f>
        <v>45016</v>
      </c>
      <c r="K42" s="40">
        <f>1+(J42-I42)/365</f>
        <v>5.0027397260273974</v>
      </c>
      <c r="M42" s="96">
        <v>616.19000000000005</v>
      </c>
      <c r="N42" s="96">
        <v>0</v>
      </c>
      <c r="O42" s="96">
        <v>0</v>
      </c>
      <c r="P42" s="96">
        <f t="shared" si="12"/>
        <v>616.19000000000005</v>
      </c>
      <c r="Q42" s="96"/>
      <c r="R42" s="96">
        <v>492.95200000000006</v>
      </c>
      <c r="S42" s="96">
        <f>IF($C42="Equipment",IF(#REF!&gt;0,#REF!,0),0)+IF($C42="Technical Equip",IF(#REF!&gt;0,#REF!,0),0)+IF($C42="Youth Equipment",IF(#REF!&gt;0,#REF!,0),0)</f>
        <v>0</v>
      </c>
      <c r="T42" s="96">
        <f t="shared" si="14"/>
        <v>123.238</v>
      </c>
      <c r="U42" s="96">
        <f>SUM(R42:T42)</f>
        <v>616.19000000000005</v>
      </c>
      <c r="V42" s="96"/>
      <c r="W42" s="96">
        <f t="shared" si="16"/>
        <v>123.238</v>
      </c>
      <c r="X42" s="96">
        <f t="shared" si="13"/>
        <v>0</v>
      </c>
    </row>
    <row r="43" spans="1:24" x14ac:dyDescent="0.2">
      <c r="A43" s="27" t="s">
        <v>413</v>
      </c>
      <c r="B43" s="27" t="s">
        <v>298</v>
      </c>
      <c r="C43" s="27" t="s">
        <v>254</v>
      </c>
      <c r="D43" s="28" t="s">
        <v>277</v>
      </c>
      <c r="E43" s="27" t="s">
        <v>414</v>
      </c>
      <c r="F43" s="39">
        <v>43786</v>
      </c>
      <c r="G43" s="28">
        <v>1</v>
      </c>
      <c r="H43" s="28">
        <v>5</v>
      </c>
      <c r="I43" s="39">
        <v>43921</v>
      </c>
      <c r="J43" s="39">
        <f>$B$3</f>
        <v>45016</v>
      </c>
      <c r="K43" s="40">
        <f>1+(J43-I43)/365</f>
        <v>4</v>
      </c>
      <c r="M43" s="96">
        <v>1676.88</v>
      </c>
      <c r="N43" s="96">
        <v>0</v>
      </c>
      <c r="O43" s="96">
        <v>0</v>
      </c>
      <c r="P43" s="96">
        <f>SUM(M43:O43)</f>
        <v>1676.88</v>
      </c>
      <c r="Q43" s="96"/>
      <c r="R43" s="96">
        <v>1006.1279999999999</v>
      </c>
      <c r="S43" s="96">
        <f>IF($C43="Equipment",IF(#REF!&gt;0,#REF!,0),0)+IF($C43="Technical Equip",IF(#REF!&gt;0,#REF!,0),0)+IF($C43="Youth Equipment",IF(#REF!&gt;0,#REF!,0),0)</f>
        <v>0</v>
      </c>
      <c r="T43" s="96">
        <f>IF(K43&lt;H43,SLN(M43+N43+O43,0,H43),M43+N43+O43-R43-S43)</f>
        <v>335.37600000000003</v>
      </c>
      <c r="U43" s="96">
        <f>SUM(R43:T43)</f>
        <v>1341.5039999999999</v>
      </c>
      <c r="V43" s="96"/>
      <c r="W43" s="96">
        <f t="shared" si="16"/>
        <v>670.75200000000018</v>
      </c>
      <c r="X43" s="96">
        <f>P43-U43</f>
        <v>335.3760000000002</v>
      </c>
    </row>
    <row r="44" spans="1:24" x14ac:dyDescent="0.2">
      <c r="D44" s="28"/>
      <c r="F44" s="39"/>
      <c r="G44" s="28"/>
      <c r="H44" s="28"/>
      <c r="I44" s="39"/>
      <c r="J44" s="39"/>
      <c r="K44" s="40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</row>
    <row r="45" spans="1:24" ht="15" x14ac:dyDescent="0.25">
      <c r="D45" s="28"/>
      <c r="F45" s="39"/>
      <c r="G45" s="28"/>
      <c r="H45" s="28"/>
      <c r="I45" s="39"/>
      <c r="J45" s="39"/>
      <c r="K45" s="40"/>
      <c r="M45" s="68"/>
      <c r="N45" s="68"/>
      <c r="O45" s="96"/>
      <c r="P45" s="101"/>
      <c r="Q45" s="96"/>
      <c r="R45" s="96"/>
      <c r="S45" s="96"/>
      <c r="T45" s="96"/>
      <c r="U45" s="96"/>
      <c r="V45" s="96"/>
      <c r="W45" s="96"/>
      <c r="X45" s="96"/>
    </row>
    <row r="46" spans="1:24" x14ac:dyDescent="0.2">
      <c r="D46" s="28"/>
      <c r="F46" s="39"/>
      <c r="G46" s="28"/>
      <c r="H46" s="28"/>
      <c r="I46" s="39"/>
      <c r="J46" s="39"/>
      <c r="K46" s="40"/>
      <c r="M46" s="97">
        <f>SUM(M34:M43)</f>
        <v>11536.21</v>
      </c>
      <c r="N46" s="97">
        <f>SUM(N34:N43)</f>
        <v>0</v>
      </c>
      <c r="O46" s="97">
        <f>SUM(O34:O42)</f>
        <v>0</v>
      </c>
      <c r="P46" s="97">
        <f>SUM(P34:P43)</f>
        <v>11536.21</v>
      </c>
      <c r="Q46" s="96"/>
      <c r="R46" s="97">
        <v>10527.097999999998</v>
      </c>
      <c r="S46" s="97">
        <f>SUM(S34:S42)</f>
        <v>0</v>
      </c>
      <c r="T46" s="97">
        <f>SUM(T34:T43)</f>
        <v>673.73599999999999</v>
      </c>
      <c r="U46" s="97">
        <f>SUM(U34:U43)</f>
        <v>11200.833999999999</v>
      </c>
      <c r="V46" s="96"/>
      <c r="W46" s="97">
        <f>SUM(W34:W43)</f>
        <v>1009.1120000000001</v>
      </c>
      <c r="X46" s="97">
        <f>SUM(X34:X43)</f>
        <v>335.3760000000002</v>
      </c>
    </row>
    <row r="47" spans="1:24" x14ac:dyDescent="0.2">
      <c r="D47" s="28"/>
      <c r="F47" s="39"/>
      <c r="G47" s="28"/>
      <c r="H47" s="28"/>
      <c r="I47" s="39"/>
      <c r="J47" s="39"/>
      <c r="K47" s="40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</row>
    <row r="48" spans="1:24" x14ac:dyDescent="0.2">
      <c r="A48" s="27" t="s">
        <v>308</v>
      </c>
      <c r="B48" s="27" t="s">
        <v>298</v>
      </c>
      <c r="C48" s="27" t="s">
        <v>254</v>
      </c>
      <c r="D48" s="28" t="s">
        <v>309</v>
      </c>
      <c r="E48" s="28" t="s">
        <v>278</v>
      </c>
      <c r="F48" s="39">
        <v>41350</v>
      </c>
      <c r="G48" s="28">
        <v>1</v>
      </c>
      <c r="H48" s="28">
        <v>5</v>
      </c>
      <c r="I48" s="39">
        <v>41729</v>
      </c>
      <c r="J48" s="39">
        <f>$B$3</f>
        <v>45016</v>
      </c>
      <c r="K48" s="40">
        <f>1+(J48-I48)/365</f>
        <v>10.005479452054795</v>
      </c>
      <c r="M48" s="96">
        <v>570</v>
      </c>
      <c r="N48" s="96">
        <v>0</v>
      </c>
      <c r="O48" s="96">
        <v>0</v>
      </c>
      <c r="P48" s="96">
        <f>SUM(M48:O48)</f>
        <v>570</v>
      </c>
      <c r="Q48" s="96"/>
      <c r="R48" s="96">
        <v>570</v>
      </c>
      <c r="S48" s="96">
        <v>0</v>
      </c>
      <c r="T48" s="96">
        <f>IF(K48&lt;H48,SLN(M48+N48+O48,0,H48),M48+N48+O48-R48-S48)</f>
        <v>0</v>
      </c>
      <c r="U48" s="96">
        <f>SUM(R48:T48)</f>
        <v>570</v>
      </c>
      <c r="V48" s="96"/>
      <c r="W48" s="96">
        <f>M48-R48-T48</f>
        <v>0</v>
      </c>
      <c r="X48" s="96">
        <f>P48-U48</f>
        <v>0</v>
      </c>
    </row>
    <row r="49" spans="1:24" x14ac:dyDescent="0.2">
      <c r="A49" s="27" t="s">
        <v>310</v>
      </c>
      <c r="B49" s="27" t="s">
        <v>311</v>
      </c>
      <c r="C49" s="27" t="s">
        <v>254</v>
      </c>
      <c r="D49" s="28" t="s">
        <v>312</v>
      </c>
      <c r="E49" s="28" t="s">
        <v>313</v>
      </c>
      <c r="F49" s="39"/>
      <c r="G49" s="28"/>
      <c r="H49" s="28">
        <v>5</v>
      </c>
      <c r="I49" s="39">
        <v>42825</v>
      </c>
      <c r="J49" s="39">
        <f>$B$3</f>
        <v>45016</v>
      </c>
      <c r="K49" s="40">
        <f>1+(J49-I49)/365</f>
        <v>7.0027397260273974</v>
      </c>
      <c r="M49" s="96">
        <v>827.1</v>
      </c>
      <c r="N49" s="96">
        <v>0</v>
      </c>
      <c r="O49" s="96">
        <v>0</v>
      </c>
      <c r="P49" s="102">
        <f>SUM(M49:O49)</f>
        <v>827.1</v>
      </c>
      <c r="Q49" s="96"/>
      <c r="R49" s="96">
        <v>827.1</v>
      </c>
      <c r="S49" s="96">
        <v>0</v>
      </c>
      <c r="T49" s="96">
        <f>IF(K49&lt;H49,SLN(M49+N49+O49,0,H49),M49+N49+O49-R49-S49)</f>
        <v>0</v>
      </c>
      <c r="U49" s="96">
        <f>SUM(R49:T49)</f>
        <v>827.1</v>
      </c>
      <c r="V49" s="96"/>
      <c r="W49" s="96">
        <f>M49-R49</f>
        <v>0</v>
      </c>
      <c r="X49" s="96">
        <f>P49-U49</f>
        <v>0</v>
      </c>
    </row>
    <row r="50" spans="1:24" x14ac:dyDescent="0.2">
      <c r="D50" s="28"/>
      <c r="F50" s="39"/>
      <c r="G50" s="28"/>
      <c r="H50" s="28"/>
      <c r="I50" s="39"/>
      <c r="J50" s="39"/>
      <c r="K50" s="40"/>
      <c r="M50" s="97">
        <f>SUM(M48:M49)</f>
        <v>1397.1</v>
      </c>
      <c r="N50" s="97">
        <f>SUM(N48:N49)</f>
        <v>0</v>
      </c>
      <c r="O50" s="97">
        <f>SUM(O48:O49)</f>
        <v>0</v>
      </c>
      <c r="P50" s="97">
        <f>SUM(P48:P49)</f>
        <v>1397.1</v>
      </c>
      <c r="Q50" s="96"/>
      <c r="R50" s="97">
        <v>1397.1</v>
      </c>
      <c r="S50" s="97">
        <f>SUM(S48:S49)</f>
        <v>0</v>
      </c>
      <c r="T50" s="97">
        <f>SUM(T48:T49)</f>
        <v>0</v>
      </c>
      <c r="U50" s="97">
        <f>SUM(U48:U49)</f>
        <v>1397.1</v>
      </c>
      <c r="V50" s="96"/>
      <c r="W50" s="97">
        <f>SUM(W48:W49)</f>
        <v>0</v>
      </c>
      <c r="X50" s="97">
        <f>SUM(X48:X49)</f>
        <v>0</v>
      </c>
    </row>
    <row r="51" spans="1:24" x14ac:dyDescent="0.2">
      <c r="D51" s="28"/>
      <c r="F51" s="39"/>
      <c r="G51" s="28"/>
      <c r="H51" s="28"/>
      <c r="I51" s="39"/>
      <c r="J51" s="39"/>
      <c r="K51" s="40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</row>
    <row r="52" spans="1:24" x14ac:dyDescent="0.2">
      <c r="D52" s="28"/>
      <c r="F52" s="39"/>
      <c r="G52" s="28"/>
      <c r="H52" s="28"/>
      <c r="I52" s="39"/>
      <c r="J52" s="39"/>
      <c r="K52" s="40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</row>
    <row r="53" spans="1:24" s="26" customFormat="1" x14ac:dyDescent="0.2">
      <c r="A53" s="26" t="s">
        <v>314</v>
      </c>
      <c r="E53" s="41"/>
      <c r="F53" s="46"/>
      <c r="G53" s="41"/>
      <c r="H53" s="41"/>
      <c r="I53" s="39"/>
      <c r="J53" s="42"/>
      <c r="K53" s="43"/>
      <c r="M53" s="98">
        <f>M50+M46</f>
        <v>12933.31</v>
      </c>
      <c r="N53" s="98">
        <f>N50+N46</f>
        <v>0</v>
      </c>
      <c r="O53" s="98">
        <f>O50+O46</f>
        <v>0</v>
      </c>
      <c r="P53" s="99">
        <f>P50+P46</f>
        <v>12933.31</v>
      </c>
      <c r="Q53" s="100"/>
      <c r="R53" s="98">
        <v>11924.197999999999</v>
      </c>
      <c r="S53" s="98">
        <f>S50+S46</f>
        <v>0</v>
      </c>
      <c r="T53" s="98">
        <f>T50+T46</f>
        <v>673.73599999999999</v>
      </c>
      <c r="U53" s="98">
        <f>U50+U46</f>
        <v>12597.933999999999</v>
      </c>
      <c r="V53" s="100"/>
      <c r="W53" s="98">
        <f>W50+W46</f>
        <v>1009.1120000000001</v>
      </c>
      <c r="X53" s="98">
        <f>X50+X46</f>
        <v>335.3760000000002</v>
      </c>
    </row>
    <row r="54" spans="1:24" s="26" customFormat="1" x14ac:dyDescent="0.2">
      <c r="E54" s="41"/>
      <c r="F54" s="46"/>
      <c r="G54" s="41"/>
      <c r="H54" s="41"/>
      <c r="I54" s="42"/>
      <c r="J54" s="42"/>
      <c r="K54" s="43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1:24" s="26" customFormat="1" x14ac:dyDescent="0.2">
      <c r="A55" s="77" t="s">
        <v>400</v>
      </c>
      <c r="E55" s="41"/>
      <c r="F55" s="46"/>
      <c r="G55" s="41"/>
      <c r="H55" s="41"/>
      <c r="I55" s="42"/>
      <c r="J55" s="42"/>
      <c r="K55" s="43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</row>
    <row r="56" spans="1:24" x14ac:dyDescent="0.2">
      <c r="A56" s="27" t="s">
        <v>315</v>
      </c>
      <c r="B56" s="27" t="s">
        <v>311</v>
      </c>
      <c r="C56" s="27" t="s">
        <v>316</v>
      </c>
      <c r="D56" s="27" t="s">
        <v>312</v>
      </c>
      <c r="E56" s="28" t="s">
        <v>317</v>
      </c>
      <c r="F56" s="44"/>
      <c r="G56" s="28">
        <v>1</v>
      </c>
      <c r="H56" s="28">
        <v>11</v>
      </c>
      <c r="I56" s="39">
        <v>42825</v>
      </c>
      <c r="J56" s="39">
        <f>$B$3</f>
        <v>45016</v>
      </c>
      <c r="K56" s="40">
        <f>1+(J56-I56)/365</f>
        <v>7.0027397260273974</v>
      </c>
      <c r="M56" s="96">
        <v>8460</v>
      </c>
      <c r="N56" s="96">
        <v>0</v>
      </c>
      <c r="O56" s="96">
        <v>0</v>
      </c>
      <c r="P56" s="96">
        <f>SUM(M56:O56)</f>
        <v>8460</v>
      </c>
      <c r="Q56" s="96"/>
      <c r="R56" s="96">
        <v>4614.545454545455</v>
      </c>
      <c r="S56" s="96">
        <v>0</v>
      </c>
      <c r="T56" s="96">
        <f>IF(K56&lt;H56,SLN(M56+N56+O56,0,H56),M56+N56+O56-R56-S56)</f>
        <v>769.09090909090912</v>
      </c>
      <c r="U56" s="96">
        <f>SUM(R56:T56)</f>
        <v>5383.636363636364</v>
      </c>
      <c r="V56" s="96"/>
      <c r="W56" s="96">
        <f>M56-R56</f>
        <v>3845.454545454545</v>
      </c>
      <c r="X56" s="96">
        <f>P56-U56</f>
        <v>3076.363636363636</v>
      </c>
    </row>
    <row r="57" spans="1:24" s="26" customFormat="1" x14ac:dyDescent="0.2">
      <c r="A57" s="27" t="s">
        <v>318</v>
      </c>
      <c r="B57" s="27" t="s">
        <v>311</v>
      </c>
      <c r="C57" s="27" t="s">
        <v>316</v>
      </c>
      <c r="D57" s="27" t="s">
        <v>312</v>
      </c>
      <c r="E57" s="28" t="s">
        <v>304</v>
      </c>
      <c r="F57" s="46"/>
      <c r="G57" s="28">
        <v>1</v>
      </c>
      <c r="H57" s="28">
        <v>11</v>
      </c>
      <c r="I57" s="39">
        <v>42825</v>
      </c>
      <c r="J57" s="39">
        <f>$B$3</f>
        <v>45016</v>
      </c>
      <c r="K57" s="40">
        <f>1+(J57-I57)/365</f>
        <v>7.0027397260273974</v>
      </c>
      <c r="M57" s="96">
        <v>622.79999999999995</v>
      </c>
      <c r="N57" s="96">
        <v>0</v>
      </c>
      <c r="O57" s="96">
        <v>0</v>
      </c>
      <c r="P57" s="96">
        <f>SUM(M57:O57)</f>
        <v>622.79999999999995</v>
      </c>
      <c r="Q57" s="96"/>
      <c r="R57" s="96">
        <v>339.70909090909089</v>
      </c>
      <c r="S57" s="96">
        <v>0</v>
      </c>
      <c r="T57" s="96">
        <f>IF(K57&lt;H57,SLN(M57+N57+O57,0,H57),M57+N57+O57-R57-S57)</f>
        <v>56.618181818181817</v>
      </c>
      <c r="U57" s="96">
        <f>SUM(R57:T57)</f>
        <v>396.32727272727271</v>
      </c>
      <c r="V57" s="96"/>
      <c r="W57" s="96">
        <f>M57-R57</f>
        <v>283.09090909090907</v>
      </c>
      <c r="X57" s="96">
        <f>P57-U57</f>
        <v>226.47272727272724</v>
      </c>
    </row>
    <row r="58" spans="1:24" s="26" customFormat="1" x14ac:dyDescent="0.2">
      <c r="A58" s="27"/>
      <c r="B58" s="27"/>
      <c r="C58" s="27"/>
      <c r="D58" s="27"/>
      <c r="E58" s="28"/>
      <c r="F58" s="46"/>
      <c r="G58" s="28"/>
      <c r="H58" s="28"/>
      <c r="I58" s="39"/>
      <c r="J58" s="39"/>
      <c r="K58" s="40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</row>
    <row r="59" spans="1:24" s="26" customFormat="1" x14ac:dyDescent="0.2">
      <c r="A59" s="27"/>
      <c r="B59" s="27"/>
      <c r="C59" s="27"/>
      <c r="D59" s="27"/>
      <c r="E59" s="28"/>
      <c r="F59" s="46"/>
      <c r="G59" s="28"/>
      <c r="H59" s="28"/>
      <c r="I59" s="39"/>
      <c r="J59" s="39"/>
      <c r="K59" s="40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</row>
    <row r="60" spans="1:24" s="26" customFormat="1" x14ac:dyDescent="0.2">
      <c r="A60" s="26" t="s">
        <v>319</v>
      </c>
      <c r="E60" s="41"/>
      <c r="F60" s="46"/>
      <c r="G60" s="41"/>
      <c r="H60" s="41"/>
      <c r="I60" s="42"/>
      <c r="J60" s="42"/>
      <c r="K60" s="43"/>
      <c r="M60" s="103">
        <f>SUM(M56:M57)</f>
        <v>9082.7999999999993</v>
      </c>
      <c r="N60" s="103">
        <f>SUM(N56:N57)</f>
        <v>0</v>
      </c>
      <c r="O60" s="103">
        <f>SUM(O56:O57)</f>
        <v>0</v>
      </c>
      <c r="P60" s="104">
        <f>SUM(P56:P57)</f>
        <v>9082.7999999999993</v>
      </c>
      <c r="Q60" s="100"/>
      <c r="R60" s="103">
        <v>4954.2545454545461</v>
      </c>
      <c r="S60" s="103">
        <f>SUM(S56:S57)</f>
        <v>0</v>
      </c>
      <c r="T60" s="105">
        <f>SUM(T56:T57)</f>
        <v>825.70909090909095</v>
      </c>
      <c r="U60" s="103">
        <f>SUM(U56:U57)</f>
        <v>5779.9636363636364</v>
      </c>
      <c r="V60" s="100"/>
      <c r="W60" s="103">
        <f>SUM(W56:W57)</f>
        <v>4128.545454545454</v>
      </c>
      <c r="X60" s="103">
        <f>SUM(X56:X57)</f>
        <v>3302.8363636363633</v>
      </c>
    </row>
    <row r="61" spans="1:24" s="26" customFormat="1" x14ac:dyDescent="0.2">
      <c r="E61" s="41"/>
      <c r="F61" s="46"/>
      <c r="G61" s="41"/>
      <c r="H61" s="41"/>
      <c r="I61" s="42"/>
      <c r="J61" s="42"/>
      <c r="K61" s="43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1:24" s="26" customFormat="1" x14ac:dyDescent="0.2">
      <c r="E62" s="41"/>
      <c r="F62" s="46"/>
      <c r="G62" s="41"/>
      <c r="H62" s="41"/>
      <c r="I62" s="42"/>
      <c r="J62" s="42"/>
      <c r="K62" s="43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1:24" s="26" customFormat="1" x14ac:dyDescent="0.2">
      <c r="A63" s="77" t="s">
        <v>398</v>
      </c>
      <c r="E63" s="41"/>
      <c r="F63" s="46"/>
      <c r="G63" s="41"/>
      <c r="H63" s="41"/>
      <c r="I63" s="42"/>
      <c r="J63" s="42"/>
      <c r="K63" s="43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1:24" x14ac:dyDescent="0.2">
      <c r="A64" s="27" t="s">
        <v>389</v>
      </c>
      <c r="B64" s="27" t="s">
        <v>357</v>
      </c>
      <c r="C64" s="27" t="s">
        <v>254</v>
      </c>
      <c r="D64" s="28" t="s">
        <v>277</v>
      </c>
      <c r="E64" s="28" t="s">
        <v>390</v>
      </c>
      <c r="F64" s="39">
        <v>43441</v>
      </c>
      <c r="G64" s="28">
        <v>32</v>
      </c>
      <c r="H64" s="28">
        <v>5</v>
      </c>
      <c r="I64" s="39">
        <v>43555</v>
      </c>
      <c r="J64" s="39">
        <f>$B$3</f>
        <v>45016</v>
      </c>
      <c r="K64" s="40">
        <f>1+(J64-I64)/365</f>
        <v>5.0027397260273974</v>
      </c>
      <c r="M64" s="96">
        <v>1147.6199999999999</v>
      </c>
      <c r="N64" s="96">
        <v>0</v>
      </c>
      <c r="O64" s="96">
        <v>0</v>
      </c>
      <c r="P64" s="96">
        <f>SUM(M64:O64)</f>
        <v>1147.6199999999999</v>
      </c>
      <c r="Q64" s="96"/>
      <c r="R64" s="96">
        <v>918.09400000000005</v>
      </c>
      <c r="S64" s="96">
        <f>IF($C64="Equipment",IF(#REF!&gt;0,#REF!,0),0)+IF($C64="Technical Equip",IF(#REF!&gt;0,#REF!,0),0)+IF($C64="Youth Equipment",IF(#REF!&gt;0,#REF!,0),0)</f>
        <v>0</v>
      </c>
      <c r="T64" s="96">
        <f>IF(K64&lt;H64,SLN(M64+N64+O64,0,H64),M64+N64+O64-R64-S64)</f>
        <v>229.52599999999984</v>
      </c>
      <c r="U64" s="96">
        <f>SUM(R64:T64)</f>
        <v>1147.6199999999999</v>
      </c>
      <c r="V64" s="96"/>
      <c r="W64" s="96">
        <f>M64-R64</f>
        <v>229.52599999999984</v>
      </c>
      <c r="X64" s="96">
        <f>P64-U64</f>
        <v>0</v>
      </c>
    </row>
    <row r="65" spans="1:24" ht="14.25" customHeight="1" x14ac:dyDescent="0.2">
      <c r="A65" s="27" t="s">
        <v>498</v>
      </c>
      <c r="B65" s="27" t="s">
        <v>357</v>
      </c>
      <c r="C65" s="27" t="s">
        <v>254</v>
      </c>
      <c r="D65" s="28" t="s">
        <v>277</v>
      </c>
      <c r="E65" s="28" t="s">
        <v>499</v>
      </c>
      <c r="F65" s="39">
        <v>44677</v>
      </c>
      <c r="G65" s="28">
        <v>1</v>
      </c>
      <c r="H65" s="28">
        <v>5</v>
      </c>
      <c r="I65" s="39">
        <v>45016</v>
      </c>
      <c r="J65" s="39">
        <f>$B$3</f>
        <v>45016</v>
      </c>
      <c r="K65" s="40">
        <f>1+(J65-I65)/365</f>
        <v>1</v>
      </c>
      <c r="M65" s="96">
        <v>0</v>
      </c>
      <c r="N65" s="96">
        <v>1884.88</v>
      </c>
      <c r="O65" s="96">
        <v>0</v>
      </c>
      <c r="P65" s="96">
        <f>SUM(M65:O65)</f>
        <v>1884.88</v>
      </c>
      <c r="Q65" s="96"/>
      <c r="R65" s="96">
        <v>0</v>
      </c>
      <c r="S65" s="96">
        <f>IF($C65="Equipment",IF(#REF!&gt;0,#REF!,0),0)+IF($C65="Technical Equip",IF(#REF!&gt;0,#REF!,0),0)+IF($C65="Youth Equipment",IF(#REF!&gt;0,#REF!,0),0)</f>
        <v>0</v>
      </c>
      <c r="T65" s="96">
        <f>IF(K65&lt;H65,SLN(M65+N65+O65,0,H65),M65+N65+O65-R65-S65)</f>
        <v>376.976</v>
      </c>
      <c r="U65" s="96">
        <f>SUM(R65:T65)</f>
        <v>376.976</v>
      </c>
      <c r="V65" s="96"/>
      <c r="W65" s="96">
        <f>M65-R65</f>
        <v>0</v>
      </c>
      <c r="X65" s="96">
        <f>P65-U65</f>
        <v>1507.904</v>
      </c>
    </row>
    <row r="66" spans="1:24" ht="14.25" customHeight="1" x14ac:dyDescent="0.2">
      <c r="D66" s="28"/>
      <c r="F66" s="39"/>
      <c r="G66" s="28"/>
      <c r="H66" s="28"/>
      <c r="I66" s="39"/>
      <c r="J66" s="39"/>
      <c r="K66" s="40"/>
      <c r="M66" s="97">
        <f>SUM(M64:M65)</f>
        <v>1147.6199999999999</v>
      </c>
      <c r="N66" s="97">
        <f t="shared" ref="N66:P66" si="17">SUM(N64:N65)</f>
        <v>1884.88</v>
      </c>
      <c r="O66" s="97">
        <f t="shared" si="17"/>
        <v>0</v>
      </c>
      <c r="P66" s="97">
        <f t="shared" si="17"/>
        <v>3032.5</v>
      </c>
      <c r="Q66" s="96"/>
      <c r="R66" s="97">
        <f>SUM(R64:R65)</f>
        <v>918.09400000000005</v>
      </c>
      <c r="S66" s="97">
        <f t="shared" ref="S66:U66" si="18">SUM(S64:S65)</f>
        <v>0</v>
      </c>
      <c r="T66" s="97">
        <f t="shared" si="18"/>
        <v>606.50199999999984</v>
      </c>
      <c r="U66" s="97">
        <f t="shared" si="18"/>
        <v>1524.596</v>
      </c>
      <c r="V66" s="96"/>
      <c r="W66" s="97">
        <f>SUM(W64:W65)</f>
        <v>229.52599999999984</v>
      </c>
      <c r="X66" s="97">
        <f>SUM(X64:X65)</f>
        <v>1507.904</v>
      </c>
    </row>
    <row r="67" spans="1:24" ht="14.25" customHeight="1" x14ac:dyDescent="0.2">
      <c r="D67" s="28"/>
      <c r="F67" s="39"/>
      <c r="G67" s="28"/>
      <c r="H67" s="28"/>
      <c r="I67" s="39"/>
      <c r="J67" s="39"/>
      <c r="K67" s="40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</row>
    <row r="68" spans="1:24" x14ac:dyDescent="0.2">
      <c r="A68" s="26" t="s">
        <v>399</v>
      </c>
      <c r="D68" s="28"/>
      <c r="F68" s="39"/>
      <c r="G68" s="28"/>
      <c r="H68" s="28"/>
      <c r="I68" s="39"/>
      <c r="J68" s="39"/>
      <c r="K68" s="40"/>
      <c r="M68" s="98">
        <f>SUM(M66)</f>
        <v>1147.6199999999999</v>
      </c>
      <c r="N68" s="98">
        <f>SUM(N66)</f>
        <v>1884.88</v>
      </c>
      <c r="O68" s="98">
        <f>SUM(O66)</f>
        <v>0</v>
      </c>
      <c r="P68" s="99">
        <f>SUM(P66)</f>
        <v>3032.5</v>
      </c>
      <c r="Q68" s="100"/>
      <c r="R68" s="98">
        <f>SUM(R66)</f>
        <v>918.09400000000005</v>
      </c>
      <c r="S68" s="98">
        <f>SUM(S66)</f>
        <v>0</v>
      </c>
      <c r="T68" s="98">
        <f>SUM(T66)</f>
        <v>606.50199999999984</v>
      </c>
      <c r="U68" s="98">
        <f>SUM(U66)</f>
        <v>1524.596</v>
      </c>
      <c r="V68" s="98"/>
      <c r="W68" s="98">
        <f>SUM(W66)</f>
        <v>229.52599999999984</v>
      </c>
      <c r="X68" s="98">
        <f>SUM(X66)</f>
        <v>1507.904</v>
      </c>
    </row>
    <row r="69" spans="1:24" s="26" customFormat="1" x14ac:dyDescent="0.2">
      <c r="E69" s="41"/>
      <c r="F69" s="46"/>
      <c r="G69" s="41"/>
      <c r="H69" s="41"/>
      <c r="I69" s="42"/>
      <c r="J69" s="42"/>
      <c r="K69" s="43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1:24" s="26" customFormat="1" x14ac:dyDescent="0.2">
      <c r="E70" s="41"/>
      <c r="F70" s="46"/>
      <c r="G70" s="41"/>
      <c r="H70" s="41"/>
      <c r="I70" s="42"/>
      <c r="J70" s="42"/>
      <c r="K70" s="43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1:24" s="26" customFormat="1" x14ac:dyDescent="0.2">
      <c r="E71" s="41"/>
      <c r="F71" s="46"/>
      <c r="G71" s="41"/>
      <c r="H71" s="41"/>
      <c r="I71" s="42"/>
      <c r="J71" s="42"/>
      <c r="K71" s="43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1:24" s="26" customFormat="1" x14ac:dyDescent="0.2">
      <c r="E72" s="41"/>
      <c r="F72" s="46"/>
      <c r="G72" s="41"/>
      <c r="H72" s="41"/>
      <c r="I72" s="42"/>
      <c r="J72" s="42"/>
      <c r="K72" s="43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1:24" s="26" customFormat="1" ht="13.5" thickBot="1" x14ac:dyDescent="0.25">
      <c r="A73" s="26" t="s">
        <v>320</v>
      </c>
      <c r="E73" s="41"/>
      <c r="F73" s="46"/>
      <c r="G73" s="41"/>
      <c r="H73" s="41"/>
      <c r="I73" s="42"/>
      <c r="J73" s="42"/>
      <c r="K73" s="43"/>
      <c r="M73" s="106">
        <f>M25+M31+M53+M60+M68</f>
        <v>36629.33</v>
      </c>
      <c r="N73" s="106">
        <f>N25+N31+N53+N60+N68</f>
        <v>1884.88</v>
      </c>
      <c r="O73" s="106">
        <f>O25+O31+O53+O60+O68</f>
        <v>0</v>
      </c>
      <c r="P73" s="106">
        <f>P25+P31+P53+P60+P68</f>
        <v>38514.21</v>
      </c>
      <c r="Q73" s="100"/>
      <c r="R73" s="106">
        <f>R25+R31+R53+R60+R68</f>
        <v>31262.146545454547</v>
      </c>
      <c r="S73" s="106">
        <f>S25+S31+S53+S60+S68</f>
        <v>0</v>
      </c>
      <c r="T73" s="106">
        <f>T25+T31+T53+T60+T68</f>
        <v>2105.947090909091</v>
      </c>
      <c r="U73" s="106">
        <f>U68+U60+U53+U31+U25+0.02</f>
        <v>33368.113636363632</v>
      </c>
      <c r="V73" s="100"/>
      <c r="W73" s="106">
        <f>W25+W31+W53+W60+W68</f>
        <v>5367.183454545454</v>
      </c>
      <c r="X73" s="106">
        <f>X25+X31+X53+X60+X68</f>
        <v>5146.1163636363635</v>
      </c>
    </row>
    <row r="74" spans="1:24" s="26" customFormat="1" ht="13.5" thickTop="1" x14ac:dyDescent="0.2">
      <c r="E74" s="41"/>
      <c r="F74" s="46"/>
      <c r="G74" s="41"/>
      <c r="H74" s="41"/>
      <c r="I74" s="42"/>
      <c r="J74" s="42"/>
      <c r="K74" s="43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1:24" ht="15" x14ac:dyDescent="0.25">
      <c r="A75" s="26"/>
      <c r="B75" s="26"/>
      <c r="C75" s="26"/>
      <c r="D75" s="26"/>
      <c r="E75" s="41"/>
      <c r="L75" s="26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</row>
    <row r="76" spans="1:24" x14ac:dyDescent="0.2">
      <c r="F76" s="44"/>
      <c r="G76" s="28"/>
      <c r="H76" s="28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1:24" x14ac:dyDescent="0.2">
      <c r="A77" s="26" t="s">
        <v>321</v>
      </c>
      <c r="B77" s="42">
        <f>$B$3</f>
        <v>45016</v>
      </c>
      <c r="F77" s="44"/>
      <c r="G77" s="28"/>
      <c r="H77" s="28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1:24" x14ac:dyDescent="0.2">
      <c r="F78" s="44"/>
      <c r="G78" s="28"/>
      <c r="H78" s="2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</row>
    <row r="79" spans="1:24" x14ac:dyDescent="0.2">
      <c r="A79" s="27" t="s">
        <v>322</v>
      </c>
      <c r="B79" s="27" t="s">
        <v>258</v>
      </c>
      <c r="D79" s="28" t="s">
        <v>323</v>
      </c>
      <c r="E79" s="28" t="s">
        <v>324</v>
      </c>
      <c r="F79" s="44"/>
      <c r="G79" s="28"/>
      <c r="H79" s="2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</row>
    <row r="80" spans="1:24" x14ac:dyDescent="0.2">
      <c r="A80" s="27" t="s">
        <v>325</v>
      </c>
      <c r="B80" s="27" t="s">
        <v>277</v>
      </c>
      <c r="D80" s="28"/>
      <c r="E80" s="47">
        <f>T60</f>
        <v>825.70909090909095</v>
      </c>
      <c r="F80" s="44"/>
      <c r="G80" s="28"/>
      <c r="H80" s="2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</row>
    <row r="81" spans="1:24" x14ac:dyDescent="0.2">
      <c r="A81" s="27" t="s">
        <v>326</v>
      </c>
      <c r="B81" s="27" t="s">
        <v>312</v>
      </c>
      <c r="D81" s="47">
        <f>T60</f>
        <v>825.70909090909095</v>
      </c>
      <c r="F81" s="44"/>
      <c r="G81" s="28"/>
      <c r="H81" s="2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</row>
    <row r="82" spans="1:24" x14ac:dyDescent="0.2">
      <c r="F82" s="44"/>
      <c r="G82" s="28"/>
      <c r="H82" s="28"/>
    </row>
    <row r="83" spans="1:24" x14ac:dyDescent="0.2">
      <c r="A83" s="27" t="s">
        <v>327</v>
      </c>
      <c r="B83" s="27" t="s">
        <v>328</v>
      </c>
      <c r="E83" s="29">
        <f>T53</f>
        <v>673.73599999999999</v>
      </c>
      <c r="F83" s="82" t="s">
        <v>405</v>
      </c>
      <c r="G83" s="28" t="s">
        <v>475</v>
      </c>
      <c r="H83" s="28"/>
      <c r="I83" s="29"/>
    </row>
    <row r="84" spans="1:24" x14ac:dyDescent="0.2">
      <c r="A84" s="27" t="s">
        <v>402</v>
      </c>
      <c r="B84" s="27" t="s">
        <v>328</v>
      </c>
      <c r="E84" s="29">
        <f>T31</f>
        <v>0</v>
      </c>
      <c r="F84" s="82" t="s">
        <v>405</v>
      </c>
      <c r="G84" s="28" t="s">
        <v>476</v>
      </c>
    </row>
    <row r="85" spans="1:24" x14ac:dyDescent="0.2">
      <c r="A85" s="27" t="s">
        <v>403</v>
      </c>
      <c r="B85" s="27" t="s">
        <v>328</v>
      </c>
      <c r="E85" s="29">
        <f>T68</f>
        <v>606.50199999999984</v>
      </c>
      <c r="F85" s="82" t="s">
        <v>405</v>
      </c>
      <c r="G85" s="28" t="s">
        <v>477</v>
      </c>
    </row>
    <row r="86" spans="1:24" x14ac:dyDescent="0.2">
      <c r="A86" s="27" t="s">
        <v>329</v>
      </c>
      <c r="B86" s="27" t="s">
        <v>328</v>
      </c>
      <c r="E86" s="29">
        <f>T25</f>
        <v>0</v>
      </c>
      <c r="F86" s="81" t="s">
        <v>404</v>
      </c>
      <c r="G86" s="28" t="s">
        <v>478</v>
      </c>
      <c r="H86" s="28"/>
    </row>
    <row r="87" spans="1:24" x14ac:dyDescent="0.2">
      <c r="F87" s="44"/>
      <c r="G87" s="28"/>
      <c r="H87" s="28"/>
      <c r="I87" s="27"/>
      <c r="J87" s="27"/>
      <c r="K87" s="27"/>
      <c r="M87" s="27"/>
      <c r="R87" s="27"/>
    </row>
    <row r="88" spans="1:24" x14ac:dyDescent="0.2">
      <c r="A88" s="27" t="s">
        <v>330</v>
      </c>
      <c r="B88" s="27" t="s">
        <v>328</v>
      </c>
      <c r="D88" s="47">
        <f>SUM(E83:E86)</f>
        <v>1280.2379999999998</v>
      </c>
      <c r="F88" s="44"/>
      <c r="G88" s="28"/>
      <c r="H88" s="28"/>
      <c r="I88" s="27"/>
      <c r="J88" s="27"/>
      <c r="K88" s="27"/>
      <c r="M88" s="27"/>
      <c r="R88" s="27"/>
    </row>
    <row r="89" spans="1:24" x14ac:dyDescent="0.2">
      <c r="D89" s="47"/>
      <c r="F89" s="44"/>
      <c r="G89" s="28"/>
      <c r="H89" s="28"/>
      <c r="I89" s="27"/>
      <c r="J89" s="27"/>
      <c r="K89" s="27"/>
      <c r="M89" s="27"/>
      <c r="R89" s="27"/>
    </row>
    <row r="90" spans="1:24" x14ac:dyDescent="0.2">
      <c r="D90" s="47"/>
      <c r="F90" s="44"/>
      <c r="G90" s="28"/>
      <c r="H90" s="28"/>
      <c r="I90" s="27"/>
      <c r="J90" s="27"/>
      <c r="K90" s="27"/>
      <c r="M90" s="27"/>
      <c r="R90" s="27"/>
    </row>
    <row r="91" spans="1:24" x14ac:dyDescent="0.2">
      <c r="A91" s="27" t="s">
        <v>359</v>
      </c>
      <c r="B91" s="27" t="s">
        <v>328</v>
      </c>
      <c r="E91" s="29">
        <f>T50</f>
        <v>0</v>
      </c>
    </row>
    <row r="92" spans="1:24" x14ac:dyDescent="0.2">
      <c r="A92" s="27" t="s">
        <v>330</v>
      </c>
      <c r="B92" s="27" t="s">
        <v>331</v>
      </c>
      <c r="D92" s="47">
        <f>T50</f>
        <v>0</v>
      </c>
      <c r="E92" s="29"/>
    </row>
    <row r="93" spans="1:24" x14ac:dyDescent="0.2">
      <c r="E93" s="29"/>
    </row>
    <row r="94" spans="1:24" ht="13.5" thickBot="1" x14ac:dyDescent="0.25">
      <c r="D94" s="48">
        <f>SUM(D80:D92)</f>
        <v>2105.9470909090905</v>
      </c>
      <c r="E94" s="48">
        <f>SUM(E80:E91)</f>
        <v>2105.947090909091</v>
      </c>
      <c r="I94" s="27"/>
      <c r="J94" s="27"/>
      <c r="K94" s="27"/>
      <c r="M94" s="27"/>
      <c r="R94" s="27"/>
    </row>
    <row r="95" spans="1:24" ht="13.5" thickTop="1" x14ac:dyDescent="0.2">
      <c r="I95" s="27"/>
      <c r="J95" s="27"/>
      <c r="K95" s="27"/>
      <c r="M95" s="27"/>
      <c r="R95" s="27"/>
    </row>
    <row r="96" spans="1:24" x14ac:dyDescent="0.2">
      <c r="A96" s="26"/>
      <c r="I96" s="27"/>
      <c r="J96" s="27"/>
      <c r="K96" s="27"/>
      <c r="M96" s="27"/>
      <c r="R96" s="27"/>
    </row>
    <row r="97" spans="4:18" x14ac:dyDescent="0.2">
      <c r="I97" s="27"/>
      <c r="J97" s="27"/>
      <c r="K97" s="27"/>
      <c r="M97" s="27"/>
      <c r="R97" s="27"/>
    </row>
    <row r="98" spans="4:18" x14ac:dyDescent="0.2">
      <c r="E98" s="47"/>
      <c r="I98" s="27"/>
      <c r="J98" s="27"/>
      <c r="K98" s="27"/>
      <c r="M98" s="27"/>
      <c r="R98" s="27"/>
    </row>
    <row r="99" spans="4:18" x14ac:dyDescent="0.2">
      <c r="D99" s="29"/>
      <c r="I99" s="27"/>
      <c r="J99" s="27"/>
      <c r="K99" s="27"/>
      <c r="M99" s="27"/>
      <c r="R99" s="27"/>
    </row>
    <row r="100" spans="4:18" x14ac:dyDescent="0.2">
      <c r="D100" s="29"/>
      <c r="I100" s="27"/>
      <c r="J100" s="27"/>
      <c r="K100" s="27"/>
      <c r="M100" s="27"/>
      <c r="R100" s="27"/>
    </row>
    <row r="102" spans="4:18" ht="15" x14ac:dyDescent="0.25">
      <c r="D102"/>
      <c r="E102"/>
      <c r="I102" s="27"/>
      <c r="J102" s="27"/>
      <c r="K102" s="27"/>
      <c r="M102" s="27"/>
      <c r="R102" s="27"/>
    </row>
    <row r="103" spans="4:18" x14ac:dyDescent="0.2">
      <c r="I103" s="27"/>
      <c r="J103" s="27"/>
      <c r="K103" s="27"/>
      <c r="M103" s="27"/>
      <c r="R103" s="27"/>
    </row>
  </sheetData>
  <mergeCells count="3">
    <mergeCell ref="M5:P5"/>
    <mergeCell ref="R5:U5"/>
    <mergeCell ref="W5:X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0D7D9-60A5-40C6-9978-D3E05D3A7513}">
  <sheetPr>
    <tabColor theme="5"/>
    <pageSetUpPr fitToPage="1"/>
  </sheetPr>
  <dimension ref="A1:G19"/>
  <sheetViews>
    <sheetView workbookViewId="0">
      <selection activeCell="E19" sqref="E19"/>
    </sheetView>
  </sheetViews>
  <sheetFormatPr defaultColWidth="9.140625" defaultRowHeight="15" x14ac:dyDescent="0.25"/>
  <cols>
    <col min="2" max="2" width="50.85546875" bestFit="1" customWidth="1"/>
    <col min="3" max="3" width="57.5703125" bestFit="1" customWidth="1"/>
    <col min="4" max="4" width="12.7109375" customWidth="1"/>
    <col min="6" max="6" width="14.7109375" bestFit="1" customWidth="1"/>
    <col min="7" max="7" width="10.140625" bestFit="1" customWidth="1"/>
  </cols>
  <sheetData>
    <row r="1" spans="1:7" x14ac:dyDescent="0.25">
      <c r="A1" s="64"/>
      <c r="B1" s="64" t="s">
        <v>153</v>
      </c>
      <c r="C1" s="64"/>
      <c r="D1" s="64" t="s">
        <v>445</v>
      </c>
      <c r="E1" s="65" t="s">
        <v>145</v>
      </c>
      <c r="G1" s="63">
        <v>45016</v>
      </c>
    </row>
    <row r="2" spans="1:7" x14ac:dyDescent="0.25">
      <c r="E2" s="67"/>
      <c r="F2" s="26" t="s">
        <v>409</v>
      </c>
    </row>
    <row r="3" spans="1:7" s="127" customFormat="1" x14ac:dyDescent="0.25">
      <c r="A3" s="127">
        <v>6070</v>
      </c>
      <c r="B3" s="127" t="s">
        <v>515</v>
      </c>
      <c r="C3" s="127" t="s">
        <v>516</v>
      </c>
      <c r="D3" s="127">
        <v>99.99</v>
      </c>
      <c r="E3" s="128">
        <f>(D3/12)*8</f>
        <v>66.66</v>
      </c>
      <c r="F3" s="187" t="s">
        <v>517</v>
      </c>
    </row>
    <row r="4" spans="1:7" s="127" customFormat="1" x14ac:dyDescent="0.25">
      <c r="A4" s="127">
        <v>6070</v>
      </c>
      <c r="B4" s="127" t="s">
        <v>451</v>
      </c>
      <c r="C4" s="127" t="s">
        <v>506</v>
      </c>
      <c r="D4" s="127">
        <v>180</v>
      </c>
      <c r="E4" s="128">
        <f>(D4/12)*10.5</f>
        <v>157.5</v>
      </c>
      <c r="F4" s="127" t="s">
        <v>507</v>
      </c>
    </row>
    <row r="5" spans="1:7" s="127" customFormat="1" x14ac:dyDescent="0.25">
      <c r="A5" s="127">
        <v>6010</v>
      </c>
      <c r="B5" s="127" t="s">
        <v>446</v>
      </c>
      <c r="C5" s="127" t="s">
        <v>528</v>
      </c>
      <c r="D5" s="127">
        <v>124.74</v>
      </c>
      <c r="E5" s="128">
        <f>(D5/3)*2</f>
        <v>83.16</v>
      </c>
      <c r="F5" s="187">
        <v>1078931</v>
      </c>
    </row>
    <row r="6" spans="1:7" s="127" customFormat="1" x14ac:dyDescent="0.25">
      <c r="A6" s="127">
        <v>6050</v>
      </c>
      <c r="B6" s="127" t="s">
        <v>519</v>
      </c>
      <c r="C6" s="127" t="s">
        <v>520</v>
      </c>
      <c r="D6" s="127">
        <v>169.22</v>
      </c>
      <c r="E6" s="128">
        <f>(D6/12)*10</f>
        <v>141.01666666666665</v>
      </c>
      <c r="F6" s="26"/>
      <c r="G6" s="127" t="s">
        <v>10</v>
      </c>
    </row>
    <row r="7" spans="1:7" s="127" customFormat="1" x14ac:dyDescent="0.25">
      <c r="A7" s="127">
        <v>6050</v>
      </c>
      <c r="B7" s="127" t="s">
        <v>421</v>
      </c>
      <c r="C7" s="127" t="s">
        <v>422</v>
      </c>
      <c r="D7" s="127">
        <v>238.8</v>
      </c>
      <c r="E7" s="128">
        <f>(D7/12)*5</f>
        <v>99.500000000000014</v>
      </c>
      <c r="F7" s="26" t="s">
        <v>504</v>
      </c>
    </row>
    <row r="8" spans="1:7" s="127" customFormat="1" x14ac:dyDescent="0.25">
      <c r="A8" s="127">
        <v>4200</v>
      </c>
      <c r="B8" s="127" t="s">
        <v>423</v>
      </c>
      <c r="C8" s="127" t="s">
        <v>447</v>
      </c>
      <c r="D8" s="127">
        <v>75</v>
      </c>
      <c r="E8" s="128">
        <v>75</v>
      </c>
      <c r="F8" s="26">
        <v>522771772</v>
      </c>
    </row>
    <row r="9" spans="1:7" s="127" customFormat="1" x14ac:dyDescent="0.25">
      <c r="A9" s="127">
        <v>4420</v>
      </c>
      <c r="B9" s="184" t="s">
        <v>424</v>
      </c>
      <c r="C9" s="127" t="s">
        <v>508</v>
      </c>
      <c r="D9" s="127">
        <v>585.6</v>
      </c>
      <c r="E9" s="128">
        <f>D9</f>
        <v>585.6</v>
      </c>
      <c r="F9" s="185">
        <v>23854</v>
      </c>
    </row>
    <row r="10" spans="1:7" s="127" customFormat="1" x14ac:dyDescent="0.25">
      <c r="A10" s="127">
        <v>6050</v>
      </c>
      <c r="B10" s="184" t="s">
        <v>448</v>
      </c>
      <c r="C10" s="127" t="s">
        <v>525</v>
      </c>
      <c r="D10" s="127">
        <v>113.76</v>
      </c>
      <c r="E10" s="128">
        <f>(113.76/12)*8</f>
        <v>75.84</v>
      </c>
      <c r="F10" s="185" t="s">
        <v>526</v>
      </c>
    </row>
    <row r="11" spans="1:7" s="127" customFormat="1" x14ac:dyDescent="0.25">
      <c r="A11" s="127">
        <v>6050</v>
      </c>
      <c r="B11" s="184" t="s">
        <v>449</v>
      </c>
      <c r="C11" s="127" t="s">
        <v>524</v>
      </c>
      <c r="D11" s="127">
        <v>49.99</v>
      </c>
      <c r="E11" s="128">
        <f>(D11/12)*7</f>
        <v>29.160833333333336</v>
      </c>
      <c r="F11" s="185">
        <v>6663232233</v>
      </c>
    </row>
    <row r="12" spans="1:7" s="127" customFormat="1" x14ac:dyDescent="0.25">
      <c r="A12" s="127">
        <v>6050</v>
      </c>
      <c r="B12" s="184" t="s">
        <v>450</v>
      </c>
      <c r="C12" s="127" t="s">
        <v>523</v>
      </c>
      <c r="D12" s="127">
        <v>90.22</v>
      </c>
      <c r="E12" s="128">
        <f>(90.22/12)*8</f>
        <v>60.146666666666668</v>
      </c>
      <c r="F12" s="185">
        <v>8573075</v>
      </c>
    </row>
    <row r="13" spans="1:7" x14ac:dyDescent="0.25">
      <c r="A13">
        <v>6050</v>
      </c>
      <c r="B13" s="1" t="s">
        <v>500</v>
      </c>
      <c r="C13" t="s">
        <v>501</v>
      </c>
      <c r="D13">
        <v>23.98</v>
      </c>
      <c r="E13" s="67">
        <f>D13/24*15</f>
        <v>14.987499999999999</v>
      </c>
      <c r="F13" s="84">
        <v>11525582</v>
      </c>
    </row>
    <row r="14" spans="1:7" x14ac:dyDescent="0.25">
      <c r="A14">
        <v>7060</v>
      </c>
      <c r="B14" s="1" t="s">
        <v>502</v>
      </c>
      <c r="C14" t="s">
        <v>518</v>
      </c>
      <c r="D14">
        <v>330</v>
      </c>
      <c r="E14" s="67">
        <f>330/2</f>
        <v>165</v>
      </c>
      <c r="F14" s="84" t="s">
        <v>503</v>
      </c>
    </row>
    <row r="15" spans="1:7" x14ac:dyDescent="0.25">
      <c r="B15" s="1"/>
      <c r="E15" s="67"/>
      <c r="F15" s="84"/>
    </row>
    <row r="16" spans="1:7" ht="16.5" customHeight="1" x14ac:dyDescent="0.25">
      <c r="B16" s="1"/>
      <c r="E16" s="67"/>
      <c r="F16" s="84"/>
    </row>
    <row r="17" spans="2:6" x14ac:dyDescent="0.25">
      <c r="B17" s="1"/>
      <c r="E17" s="67"/>
      <c r="F17" s="84"/>
    </row>
    <row r="18" spans="2:6" ht="15.75" thickBot="1" x14ac:dyDescent="0.3">
      <c r="E18" s="69">
        <f>SUM(E3:E14)+1</f>
        <v>1554.5716666666667</v>
      </c>
    </row>
    <row r="19" spans="2:6" ht="15.75" thickTop="1" x14ac:dyDescent="0.25"/>
  </sheetData>
  <pageMargins left="0.7" right="0.7" top="0.75" bottom="0.75" header="0.3" footer="0.3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D22"/>
  <sheetViews>
    <sheetView workbookViewId="0">
      <selection activeCell="C13" sqref="C13"/>
    </sheetView>
  </sheetViews>
  <sheetFormatPr defaultColWidth="9.140625" defaultRowHeight="15" x14ac:dyDescent="0.25"/>
  <cols>
    <col min="2" max="2" width="49.85546875" bestFit="1" customWidth="1"/>
    <col min="4" max="4" width="12.7109375" bestFit="1" customWidth="1"/>
    <col min="6" max="6" width="10.140625" bestFit="1" customWidth="1"/>
  </cols>
  <sheetData>
    <row r="1" spans="1:4" x14ac:dyDescent="0.25">
      <c r="A1" s="64"/>
      <c r="B1" s="64" t="s">
        <v>366</v>
      </c>
      <c r="C1" s="65" t="s">
        <v>145</v>
      </c>
      <c r="D1" s="66">
        <v>45016</v>
      </c>
    </row>
    <row r="2" spans="1:4" x14ac:dyDescent="0.25">
      <c r="C2" s="67"/>
      <c r="D2">
        <v>2</v>
      </c>
    </row>
    <row r="3" spans="1:4" x14ac:dyDescent="0.25">
      <c r="C3" s="83"/>
    </row>
    <row r="4" spans="1:4" s="27" customFormat="1" ht="12.75" x14ac:dyDescent="0.2">
      <c r="A4" s="27">
        <v>4130</v>
      </c>
      <c r="B4" s="27" t="s">
        <v>513</v>
      </c>
      <c r="C4" s="126">
        <v>171.8</v>
      </c>
      <c r="D4" s="96" t="s">
        <v>514</v>
      </c>
    </row>
    <row r="5" spans="1:4" s="27" customFormat="1" ht="12.75" x14ac:dyDescent="0.2">
      <c r="A5" s="27">
        <v>4120</v>
      </c>
      <c r="B5" s="27" t="s">
        <v>527</v>
      </c>
      <c r="C5" s="126">
        <v>483.74</v>
      </c>
      <c r="D5" s="188">
        <v>3154908</v>
      </c>
    </row>
    <row r="6" spans="1:4" s="27" customFormat="1" ht="12.75" x14ac:dyDescent="0.2">
      <c r="A6" s="27">
        <v>4110</v>
      </c>
      <c r="B6" s="27" t="s">
        <v>509</v>
      </c>
      <c r="C6" s="126">
        <v>150</v>
      </c>
      <c r="D6" s="186" t="s">
        <v>510</v>
      </c>
    </row>
    <row r="7" spans="1:4" s="181" customFormat="1" ht="12.75" x14ac:dyDescent="0.2">
      <c r="A7" s="27">
        <v>8010</v>
      </c>
      <c r="B7" s="27" t="s">
        <v>412</v>
      </c>
      <c r="C7" s="126">
        <v>750</v>
      </c>
      <c r="D7" s="182"/>
    </row>
    <row r="8" spans="1:4" s="127" customFormat="1" x14ac:dyDescent="0.25">
      <c r="A8" s="27">
        <v>3040</v>
      </c>
      <c r="B8" s="27" t="s">
        <v>505</v>
      </c>
      <c r="C8" s="128">
        <v>277.5</v>
      </c>
      <c r="D8" s="183">
        <v>45017</v>
      </c>
    </row>
    <row r="9" spans="1:4" s="127" customFormat="1" x14ac:dyDescent="0.25">
      <c r="A9" s="27">
        <v>6060</v>
      </c>
      <c r="B9" s="27" t="s">
        <v>511</v>
      </c>
      <c r="C9" s="128">
        <f>(1035.89/12)*2.5</f>
        <v>215.81041666666667</v>
      </c>
      <c r="D9" s="183" t="s">
        <v>512</v>
      </c>
    </row>
    <row r="10" spans="1:4" s="127" customFormat="1" x14ac:dyDescent="0.25">
      <c r="A10" s="27">
        <v>4410</v>
      </c>
      <c r="B10" s="27" t="s">
        <v>521</v>
      </c>
      <c r="C10" s="128">
        <f>(660/6)*1.5</f>
        <v>165</v>
      </c>
      <c r="D10" s="183" t="s">
        <v>522</v>
      </c>
    </row>
    <row r="11" spans="1:4" s="127" customFormat="1" x14ac:dyDescent="0.25">
      <c r="A11" s="27"/>
      <c r="B11" s="27"/>
      <c r="C11" s="128"/>
      <c r="D11" s="183"/>
    </row>
    <row r="12" spans="1:4" ht="15.75" thickBot="1" x14ac:dyDescent="0.3">
      <c r="C12" s="69">
        <f>SUM(C3:C10)+1</f>
        <v>2214.8504166666667</v>
      </c>
    </row>
    <row r="13" spans="1:4" ht="15.75" thickTop="1" x14ac:dyDescent="0.25">
      <c r="C13" s="67"/>
    </row>
    <row r="14" spans="1:4" x14ac:dyDescent="0.25">
      <c r="B14" s="26" t="s">
        <v>533</v>
      </c>
    </row>
    <row r="16" spans="1:4" s="127" customFormat="1" x14ac:dyDescent="0.25">
      <c r="A16" s="27">
        <v>4490</v>
      </c>
      <c r="B16" s="27" t="s">
        <v>529</v>
      </c>
      <c r="C16" s="126">
        <v>700.46</v>
      </c>
    </row>
    <row r="17" spans="1:3" s="127" customFormat="1" x14ac:dyDescent="0.25">
      <c r="A17" s="27">
        <v>4490</v>
      </c>
      <c r="B17" s="27" t="s">
        <v>530</v>
      </c>
      <c r="C17" s="126">
        <v>2464</v>
      </c>
    </row>
    <row r="18" spans="1:3" x14ac:dyDescent="0.25">
      <c r="A18">
        <v>4490</v>
      </c>
      <c r="B18" t="s">
        <v>531</v>
      </c>
      <c r="C18">
        <v>10500</v>
      </c>
    </row>
    <row r="19" spans="1:3" x14ac:dyDescent="0.25">
      <c r="A19">
        <v>4110</v>
      </c>
      <c r="B19" t="s">
        <v>532</v>
      </c>
      <c r="C19">
        <v>1978</v>
      </c>
    </row>
    <row r="21" spans="1:3" ht="15.75" thickBot="1" x14ac:dyDescent="0.3">
      <c r="C21" s="69">
        <f>SUM(C13:C20)</f>
        <v>15642.46</v>
      </c>
    </row>
    <row r="22" spans="1:3" ht="15.75" thickTop="1" x14ac:dyDescent="0.25"/>
  </sheetData>
  <pageMargins left="0.7" right="0.7" top="0.75" bottom="0.75" header="0.3" footer="0.3"/>
  <pageSetup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C93EE-02C5-4B7A-B84A-A9D7C66E2601}">
  <sheetPr>
    <tabColor theme="5"/>
    <pageSetUpPr fitToPage="1"/>
  </sheetPr>
  <dimension ref="A1:G33"/>
  <sheetViews>
    <sheetView workbookViewId="0">
      <selection activeCell="G26" sqref="G26:G29"/>
    </sheetView>
  </sheetViews>
  <sheetFormatPr defaultRowHeight="15" x14ac:dyDescent="0.25"/>
  <cols>
    <col min="1" max="1" width="30.140625" customWidth="1"/>
    <col min="2" max="2" width="9.42578125" customWidth="1"/>
    <col min="3" max="3" width="12" customWidth="1"/>
    <col min="4" max="4" width="7.7109375" customWidth="1"/>
    <col min="5" max="5" width="47.28515625" customWidth="1"/>
    <col min="6" max="7" width="9.42578125" customWidth="1"/>
  </cols>
  <sheetData>
    <row r="1" spans="1:7" ht="18" x14ac:dyDescent="0.25">
      <c r="A1" s="284" t="s">
        <v>0</v>
      </c>
      <c r="B1" s="280"/>
      <c r="C1" s="280"/>
      <c r="D1" s="280"/>
      <c r="E1" s="280"/>
      <c r="F1" s="280"/>
      <c r="G1" s="280"/>
    </row>
    <row r="2" spans="1:7" ht="18" x14ac:dyDescent="0.25">
      <c r="A2" s="284" t="s">
        <v>534</v>
      </c>
      <c r="B2" s="280"/>
      <c r="C2" s="280"/>
      <c r="D2" s="280"/>
      <c r="E2" s="280"/>
      <c r="F2" s="280"/>
      <c r="G2" s="280"/>
    </row>
    <row r="3" spans="1:7" x14ac:dyDescent="0.25">
      <c r="A3" s="285" t="s">
        <v>535</v>
      </c>
      <c r="B3" s="280"/>
      <c r="C3" s="280"/>
      <c r="D3" s="280"/>
      <c r="E3" s="280"/>
      <c r="F3" s="280"/>
      <c r="G3" s="280"/>
    </row>
    <row r="4" spans="1:7" x14ac:dyDescent="0.25">
      <c r="A4" s="193" t="s">
        <v>565</v>
      </c>
    </row>
    <row r="5" spans="1:7" ht="24.75" x14ac:dyDescent="0.25">
      <c r="B5" s="189" t="s">
        <v>536</v>
      </c>
      <c r="C5" s="189" t="s">
        <v>537</v>
      </c>
      <c r="D5" s="189" t="s">
        <v>538</v>
      </c>
      <c r="E5" s="189" t="s">
        <v>539</v>
      </c>
      <c r="F5" s="189" t="s">
        <v>540</v>
      </c>
      <c r="G5" s="189" t="s">
        <v>541</v>
      </c>
    </row>
    <row r="6" spans="1:7" x14ac:dyDescent="0.25">
      <c r="B6" s="190" t="s">
        <v>542</v>
      </c>
      <c r="C6" s="190" t="s">
        <v>543</v>
      </c>
      <c r="D6" s="190">
        <v>4438</v>
      </c>
      <c r="E6" s="190" t="s">
        <v>428</v>
      </c>
      <c r="F6" s="190" t="s">
        <v>544</v>
      </c>
      <c r="G6" s="191">
        <v>90</v>
      </c>
    </row>
    <row r="7" spans="1:7" x14ac:dyDescent="0.25">
      <c r="B7" s="190" t="s">
        <v>545</v>
      </c>
      <c r="C7" s="190" t="s">
        <v>546</v>
      </c>
      <c r="D7" s="190"/>
      <c r="E7" s="190" t="s">
        <v>432</v>
      </c>
      <c r="F7" s="190" t="s">
        <v>545</v>
      </c>
      <c r="G7" s="191">
        <v>-121.86</v>
      </c>
    </row>
    <row r="8" spans="1:7" x14ac:dyDescent="0.25">
      <c r="B8" s="190" t="s">
        <v>547</v>
      </c>
      <c r="C8" s="190" t="s">
        <v>546</v>
      </c>
      <c r="D8" s="190"/>
      <c r="E8" s="190" t="s">
        <v>432</v>
      </c>
      <c r="F8" s="190" t="s">
        <v>547</v>
      </c>
      <c r="G8" s="191">
        <v>-66.44</v>
      </c>
    </row>
    <row r="9" spans="1:7" x14ac:dyDescent="0.25">
      <c r="B9" s="190" t="s">
        <v>548</v>
      </c>
      <c r="C9" s="190" t="s">
        <v>546</v>
      </c>
      <c r="D9" s="190"/>
      <c r="E9" s="190" t="s">
        <v>452</v>
      </c>
      <c r="F9" s="190" t="s">
        <v>548</v>
      </c>
      <c r="G9" s="191">
        <v>-33.659999999999997</v>
      </c>
    </row>
    <row r="10" spans="1:7" x14ac:dyDescent="0.25">
      <c r="B10" s="190" t="s">
        <v>549</v>
      </c>
      <c r="C10" s="190" t="s">
        <v>543</v>
      </c>
      <c r="D10" s="190">
        <v>4847</v>
      </c>
      <c r="E10" s="190" t="s">
        <v>430</v>
      </c>
      <c r="F10" s="190" t="s">
        <v>549</v>
      </c>
      <c r="G10" s="191">
        <v>64.760000000000005</v>
      </c>
    </row>
    <row r="11" spans="1:7" x14ac:dyDescent="0.25">
      <c r="B11" s="190" t="s">
        <v>550</v>
      </c>
      <c r="C11" s="190" t="s">
        <v>543</v>
      </c>
      <c r="D11" s="190">
        <v>4884</v>
      </c>
      <c r="E11" s="190" t="s">
        <v>430</v>
      </c>
      <c r="F11" s="190" t="s">
        <v>550</v>
      </c>
      <c r="G11" s="191">
        <v>0.4</v>
      </c>
    </row>
    <row r="12" spans="1:7" x14ac:dyDescent="0.25">
      <c r="B12" s="190" t="s">
        <v>551</v>
      </c>
      <c r="C12" s="190" t="s">
        <v>543</v>
      </c>
      <c r="D12" s="190">
        <v>4933</v>
      </c>
      <c r="E12" s="190" t="s">
        <v>430</v>
      </c>
      <c r="F12" s="190" t="s">
        <v>551</v>
      </c>
      <c r="G12" s="191">
        <v>0.68</v>
      </c>
    </row>
    <row r="13" spans="1:7" x14ac:dyDescent="0.25">
      <c r="B13" s="190" t="s">
        <v>552</v>
      </c>
      <c r="C13" s="190" t="s">
        <v>543</v>
      </c>
      <c r="D13" s="190">
        <v>5070</v>
      </c>
      <c r="E13" s="190" t="s">
        <v>430</v>
      </c>
      <c r="F13" s="190" t="s">
        <v>552</v>
      </c>
      <c r="G13" s="191">
        <v>1.01</v>
      </c>
    </row>
    <row r="14" spans="1:7" x14ac:dyDescent="0.25">
      <c r="B14" s="190" t="s">
        <v>553</v>
      </c>
      <c r="C14" s="190" t="s">
        <v>543</v>
      </c>
      <c r="D14" s="190">
        <v>5082</v>
      </c>
      <c r="E14" s="190" t="s">
        <v>430</v>
      </c>
      <c r="F14" s="190" t="s">
        <v>553</v>
      </c>
      <c r="G14" s="191">
        <v>0.2</v>
      </c>
    </row>
    <row r="15" spans="1:7" x14ac:dyDescent="0.25">
      <c r="B15" s="190" t="s">
        <v>554</v>
      </c>
      <c r="C15" s="190" t="s">
        <v>546</v>
      </c>
      <c r="D15" s="190">
        <v>613</v>
      </c>
      <c r="E15" s="190" t="s">
        <v>454</v>
      </c>
      <c r="F15" s="190" t="s">
        <v>554</v>
      </c>
      <c r="G15" s="191">
        <v>-0.04</v>
      </c>
    </row>
    <row r="16" spans="1:7" x14ac:dyDescent="0.25">
      <c r="B16" s="190" t="s">
        <v>555</v>
      </c>
      <c r="C16" s="190" t="s">
        <v>543</v>
      </c>
      <c r="D16" s="190">
        <v>5124</v>
      </c>
      <c r="E16" s="190" t="s">
        <v>430</v>
      </c>
      <c r="F16" s="190" t="s">
        <v>555</v>
      </c>
      <c r="G16" s="191">
        <v>0.73</v>
      </c>
    </row>
    <row r="17" spans="1:7" x14ac:dyDescent="0.25">
      <c r="B17" s="190" t="s">
        <v>556</v>
      </c>
      <c r="C17" s="190" t="s">
        <v>546</v>
      </c>
      <c r="D17" s="190"/>
      <c r="E17" s="190" t="s">
        <v>557</v>
      </c>
      <c r="F17" s="190" t="s">
        <v>556</v>
      </c>
      <c r="G17" s="191">
        <v>-16.399999999999999</v>
      </c>
    </row>
    <row r="18" spans="1:7" x14ac:dyDescent="0.25">
      <c r="B18" s="190" t="s">
        <v>558</v>
      </c>
      <c r="C18" s="190" t="s">
        <v>543</v>
      </c>
      <c r="D18" s="190">
        <v>5197</v>
      </c>
      <c r="E18" s="190" t="s">
        <v>431</v>
      </c>
      <c r="F18" s="190" t="s">
        <v>559</v>
      </c>
      <c r="G18" s="191">
        <v>21</v>
      </c>
    </row>
    <row r="19" spans="1:7" x14ac:dyDescent="0.25">
      <c r="B19" s="190" t="s">
        <v>560</v>
      </c>
      <c r="C19" s="190" t="s">
        <v>543</v>
      </c>
      <c r="D19" s="190">
        <v>5258</v>
      </c>
      <c r="E19" s="190" t="s">
        <v>453</v>
      </c>
      <c r="F19" s="190" t="s">
        <v>561</v>
      </c>
      <c r="G19" s="191">
        <v>0.3</v>
      </c>
    </row>
    <row r="20" spans="1:7" x14ac:dyDescent="0.25">
      <c r="B20" s="190" t="s">
        <v>562</v>
      </c>
      <c r="C20" s="190" t="s">
        <v>563</v>
      </c>
      <c r="D20" s="190" t="s">
        <v>564</v>
      </c>
      <c r="E20" s="190" t="s">
        <v>427</v>
      </c>
      <c r="F20" s="190" t="s">
        <v>562</v>
      </c>
      <c r="G20" s="191">
        <v>-166.53</v>
      </c>
    </row>
    <row r="22" spans="1:7" ht="15.75" thickBot="1" x14ac:dyDescent="0.3">
      <c r="G22" s="192">
        <f>SUM(G6:G21)</f>
        <v>-225.84999999999997</v>
      </c>
    </row>
    <row r="23" spans="1:7" ht="15.75" thickTop="1" x14ac:dyDescent="0.25"/>
    <row r="25" spans="1:7" x14ac:dyDescent="0.25">
      <c r="A25" s="193" t="s">
        <v>571</v>
      </c>
    </row>
    <row r="26" spans="1:7" x14ac:dyDescent="0.25">
      <c r="B26" s="178" t="s">
        <v>570</v>
      </c>
      <c r="C26" s="178" t="s">
        <v>546</v>
      </c>
      <c r="D26" s="178"/>
      <c r="E26" s="178" t="s">
        <v>429</v>
      </c>
      <c r="F26" s="178" t="s">
        <v>570</v>
      </c>
      <c r="G26" s="161">
        <v>-81.84</v>
      </c>
    </row>
    <row r="27" spans="1:7" x14ac:dyDescent="0.25">
      <c r="B27" s="178" t="s">
        <v>569</v>
      </c>
      <c r="C27" s="178" t="s">
        <v>546</v>
      </c>
      <c r="D27" s="178"/>
      <c r="E27" s="178" t="s">
        <v>429</v>
      </c>
      <c r="F27" s="178" t="s">
        <v>569</v>
      </c>
      <c r="G27" s="161">
        <v>-150.04</v>
      </c>
    </row>
    <row r="28" spans="1:7" x14ac:dyDescent="0.25">
      <c r="B28" s="178" t="s">
        <v>568</v>
      </c>
      <c r="C28" s="178" t="s">
        <v>546</v>
      </c>
      <c r="D28" s="178"/>
      <c r="E28" s="178" t="s">
        <v>429</v>
      </c>
      <c r="F28" s="178" t="s">
        <v>568</v>
      </c>
      <c r="G28" s="161">
        <v>-146.63</v>
      </c>
    </row>
    <row r="29" spans="1:7" x14ac:dyDescent="0.25">
      <c r="B29" s="178" t="s">
        <v>567</v>
      </c>
      <c r="C29" s="178" t="s">
        <v>546</v>
      </c>
      <c r="D29" s="178"/>
      <c r="E29" s="178" t="s">
        <v>429</v>
      </c>
      <c r="F29" s="178" t="s">
        <v>567</v>
      </c>
      <c r="G29" s="161">
        <v>-57.97</v>
      </c>
    </row>
    <row r="30" spans="1:7" x14ac:dyDescent="0.25">
      <c r="B30" s="178" t="s">
        <v>566</v>
      </c>
      <c r="C30" s="178" t="s">
        <v>546</v>
      </c>
      <c r="D30" s="178"/>
      <c r="E30" s="178" t="s">
        <v>427</v>
      </c>
      <c r="F30" s="178" t="s">
        <v>566</v>
      </c>
      <c r="G30" s="161">
        <v>-156.41999999999999</v>
      </c>
    </row>
    <row r="32" spans="1:7" ht="15.75" thickBot="1" x14ac:dyDescent="0.3">
      <c r="G32" s="192">
        <f>SUM(G26:G31)</f>
        <v>-592.9</v>
      </c>
    </row>
    <row r="33" ht="15.75" thickTop="1" x14ac:dyDescent="0.25"/>
  </sheetData>
  <mergeCells count="3">
    <mergeCell ref="A1:G1"/>
    <mergeCell ref="A2:G2"/>
    <mergeCell ref="A3:G3"/>
  </mergeCells>
  <pageMargins left="0.7" right="0.7" top="0.75" bottom="0.75" header="0.3" footer="0.3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3:E52"/>
  <sheetViews>
    <sheetView topLeftCell="A19" workbookViewId="0">
      <selection activeCell="E45" sqref="E45"/>
    </sheetView>
  </sheetViews>
  <sheetFormatPr defaultColWidth="9.140625" defaultRowHeight="15" customHeight="1" x14ac:dyDescent="0.25"/>
  <cols>
    <col min="1" max="1" width="51" style="9" bestFit="1" customWidth="1"/>
    <col min="2" max="2" width="12" style="9" bestFit="1" customWidth="1"/>
    <col min="3" max="3" width="9.140625" style="9"/>
    <col min="4" max="4" width="10.5703125" style="9" bestFit="1" customWidth="1"/>
    <col min="5" max="16384" width="9.140625" style="9"/>
  </cols>
  <sheetData>
    <row r="3" spans="1:4" ht="15" customHeight="1" x14ac:dyDescent="0.25">
      <c r="B3" s="16" t="s">
        <v>3</v>
      </c>
      <c r="C3" s="16"/>
      <c r="D3" s="16" t="s">
        <v>2</v>
      </c>
    </row>
    <row r="5" spans="1:4" ht="15" customHeight="1" x14ac:dyDescent="0.25">
      <c r="A5" s="222" t="s">
        <v>107</v>
      </c>
      <c r="B5" s="220"/>
      <c r="C5" s="220"/>
      <c r="D5" s="220"/>
    </row>
    <row r="6" spans="1:4" ht="15" customHeight="1" x14ac:dyDescent="0.25">
      <c r="A6" s="219" t="s">
        <v>456</v>
      </c>
      <c r="B6" s="220"/>
      <c r="C6" s="220"/>
      <c r="D6" s="220">
        <v>1094.79</v>
      </c>
    </row>
    <row r="7" spans="1:4" ht="15" customHeight="1" x14ac:dyDescent="0.25">
      <c r="A7" s="223" t="s">
        <v>419</v>
      </c>
      <c r="B7" s="220"/>
      <c r="C7" s="220"/>
      <c r="D7" s="220"/>
    </row>
    <row r="8" spans="1:4" ht="15" customHeight="1" x14ac:dyDescent="0.25">
      <c r="A8" s="224" t="s">
        <v>605</v>
      </c>
      <c r="B8" s="220"/>
      <c r="C8" s="220"/>
      <c r="D8" s="220">
        <v>205</v>
      </c>
    </row>
    <row r="9" spans="1:4" ht="15" customHeight="1" x14ac:dyDescent="0.25">
      <c r="A9" s="219"/>
      <c r="B9" s="220"/>
      <c r="C9" s="220"/>
      <c r="D9" s="220"/>
    </row>
    <row r="10" spans="1:4" ht="15" customHeight="1" x14ac:dyDescent="0.25">
      <c r="A10" s="223" t="s">
        <v>580</v>
      </c>
      <c r="B10" s="220"/>
      <c r="C10" s="220"/>
      <c r="D10" s="220"/>
    </row>
    <row r="11" spans="1:4" ht="15" customHeight="1" x14ac:dyDescent="0.25">
      <c r="A11" s="224" t="s">
        <v>606</v>
      </c>
      <c r="B11" s="220"/>
      <c r="C11" s="220"/>
      <c r="D11" s="220">
        <v>300</v>
      </c>
    </row>
    <row r="12" spans="1:4" ht="15" customHeight="1" x14ac:dyDescent="0.25">
      <c r="A12" s="224" t="s">
        <v>608</v>
      </c>
      <c r="B12" s="220"/>
      <c r="C12" s="220"/>
      <c r="D12" s="220">
        <v>100</v>
      </c>
    </row>
    <row r="13" spans="1:4" ht="15" customHeight="1" x14ac:dyDescent="0.25">
      <c r="A13" s="224" t="s">
        <v>609</v>
      </c>
      <c r="B13" s="220">
        <f>-112.8+1569.64</f>
        <v>1456.8400000000001</v>
      </c>
      <c r="C13" s="220"/>
    </row>
    <row r="14" spans="1:4" ht="15" customHeight="1" x14ac:dyDescent="0.25">
      <c r="A14" s="224" t="s">
        <v>610</v>
      </c>
      <c r="B14" s="220">
        <v>907.84</v>
      </c>
      <c r="C14" s="220"/>
    </row>
    <row r="15" spans="1:4" ht="15" customHeight="1" x14ac:dyDescent="0.25">
      <c r="A15" s="119"/>
      <c r="B15" s="120"/>
      <c r="C15" s="120"/>
      <c r="D15" s="120"/>
    </row>
    <row r="16" spans="1:4" ht="15" customHeight="1" x14ac:dyDescent="0.25">
      <c r="A16" s="223" t="s">
        <v>495</v>
      </c>
      <c r="B16" s="220"/>
      <c r="C16" s="220"/>
      <c r="D16" s="220"/>
    </row>
    <row r="17" spans="1:5" ht="15" customHeight="1" x14ac:dyDescent="0.25">
      <c r="A17" s="224" t="s">
        <v>607</v>
      </c>
      <c r="B17" s="220"/>
      <c r="C17" s="220"/>
      <c r="D17" s="220">
        <v>112.8</v>
      </c>
    </row>
    <row r="18" spans="1:5" ht="15" customHeight="1" x14ac:dyDescent="0.25">
      <c r="A18" s="119"/>
      <c r="B18" s="120"/>
      <c r="C18" s="120"/>
      <c r="D18" s="120"/>
    </row>
    <row r="19" spans="1:5" ht="15" customHeight="1" x14ac:dyDescent="0.25">
      <c r="A19" s="223" t="s">
        <v>582</v>
      </c>
      <c r="B19" s="120"/>
      <c r="C19" s="120"/>
      <c r="D19" s="220">
        <v>259.19</v>
      </c>
    </row>
    <row r="20" spans="1:5" ht="15" customHeight="1" x14ac:dyDescent="0.25">
      <c r="A20" s="119"/>
      <c r="B20" s="120"/>
      <c r="C20" s="120"/>
      <c r="D20" s="120"/>
    </row>
    <row r="21" spans="1:5" ht="15" customHeight="1" x14ac:dyDescent="0.25">
      <c r="A21" s="223" t="s">
        <v>496</v>
      </c>
      <c r="B21" s="120"/>
      <c r="C21" s="120"/>
      <c r="D21" s="120"/>
    </row>
    <row r="22" spans="1:5" s="221" customFormat="1" ht="28.5" customHeight="1" x14ac:dyDescent="0.25">
      <c r="A22" s="224" t="s">
        <v>611</v>
      </c>
      <c r="B22" s="220">
        <v>500</v>
      </c>
      <c r="C22" s="120"/>
      <c r="D22" s="120"/>
    </row>
    <row r="23" spans="1:5" ht="15" customHeight="1" x14ac:dyDescent="0.25">
      <c r="A23" s="224" t="s">
        <v>613</v>
      </c>
      <c r="B23" s="220">
        <v>300</v>
      </c>
      <c r="C23" s="120"/>
      <c r="D23" s="120"/>
    </row>
    <row r="24" spans="1:5" ht="15" customHeight="1" x14ac:dyDescent="0.25">
      <c r="A24" s="224" t="s">
        <v>612</v>
      </c>
      <c r="B24" s="220">
        <v>1200</v>
      </c>
      <c r="C24" s="120"/>
      <c r="D24" s="120"/>
    </row>
    <row r="25" spans="1:5" s="221" customFormat="1" ht="15" customHeight="1" x14ac:dyDescent="0.25">
      <c r="A25" s="224" t="s">
        <v>614</v>
      </c>
      <c r="B25" s="220">
        <v>45</v>
      </c>
      <c r="C25" s="120"/>
      <c r="D25" s="220"/>
    </row>
    <row r="26" spans="1:5" ht="15" customHeight="1" x14ac:dyDescent="0.25">
      <c r="A26" s="119"/>
      <c r="B26" s="120"/>
      <c r="C26" s="120"/>
      <c r="D26" s="120"/>
    </row>
    <row r="27" spans="1:5" ht="15" customHeight="1" thickBot="1" x14ac:dyDescent="0.3">
      <c r="A27" s="125"/>
      <c r="B27" s="225">
        <f>SUM(B6:B26)</f>
        <v>4409.68</v>
      </c>
      <c r="C27" s="220"/>
      <c r="D27" s="225">
        <f>SUM(D6:D26)</f>
        <v>2071.7799999999997</v>
      </c>
      <c r="E27" s="221"/>
    </row>
    <row r="28" spans="1:5" ht="15" customHeight="1" x14ac:dyDescent="0.25">
      <c r="A28" s="125"/>
      <c r="B28" s="120"/>
      <c r="C28" s="120"/>
      <c r="D28" s="120"/>
    </row>
    <row r="29" spans="1:5" ht="15" customHeight="1" x14ac:dyDescent="0.25">
      <c r="A29" s="125"/>
      <c r="B29" s="120"/>
      <c r="C29" s="120"/>
      <c r="D29" s="120"/>
    </row>
    <row r="30" spans="1:5" ht="15" customHeight="1" x14ac:dyDescent="0.25">
      <c r="A30" s="223" t="s">
        <v>580</v>
      </c>
      <c r="B30" s="120"/>
      <c r="C30" s="120"/>
      <c r="D30" s="120"/>
    </row>
    <row r="31" spans="1:5" ht="15" customHeight="1" x14ac:dyDescent="0.25">
      <c r="A31" s="224" t="s">
        <v>617</v>
      </c>
      <c r="B31" s="161">
        <v>1943</v>
      </c>
      <c r="C31" s="120"/>
      <c r="D31" s="120"/>
    </row>
    <row r="32" spans="1:5" ht="15" customHeight="1" x14ac:dyDescent="0.25">
      <c r="A32" s="224" t="s">
        <v>618</v>
      </c>
      <c r="B32" s="161">
        <v>435.65</v>
      </c>
      <c r="C32" s="120"/>
      <c r="D32" s="120"/>
    </row>
    <row r="33" spans="1:4" ht="16.5" customHeight="1" x14ac:dyDescent="0.25">
      <c r="A33" s="224" t="s">
        <v>619</v>
      </c>
      <c r="B33" s="161">
        <v>3000</v>
      </c>
      <c r="C33" s="120"/>
      <c r="D33" s="120"/>
    </row>
    <row r="34" spans="1:4" ht="15" customHeight="1" x14ac:dyDescent="0.25">
      <c r="A34" s="224" t="s">
        <v>620</v>
      </c>
      <c r="B34" s="120"/>
      <c r="C34" s="120"/>
      <c r="D34" s="220">
        <v>3566.81</v>
      </c>
    </row>
    <row r="35" spans="1:4" ht="15" customHeight="1" x14ac:dyDescent="0.25">
      <c r="A35" s="125"/>
      <c r="B35" s="120"/>
      <c r="C35" s="120"/>
      <c r="D35" s="120"/>
    </row>
    <row r="36" spans="1:4" ht="15" customHeight="1" x14ac:dyDescent="0.25">
      <c r="A36" s="223" t="s">
        <v>10</v>
      </c>
      <c r="B36" s="120"/>
      <c r="C36" s="120"/>
      <c r="D36" s="120"/>
    </row>
    <row r="37" spans="1:4" ht="15" customHeight="1" x14ac:dyDescent="0.25">
      <c r="A37" s="224" t="s">
        <v>615</v>
      </c>
      <c r="B37" s="120"/>
      <c r="C37" s="120"/>
      <c r="D37" s="220">
        <v>2000</v>
      </c>
    </row>
    <row r="38" spans="1:4" ht="15" customHeight="1" x14ac:dyDescent="0.25">
      <c r="A38" s="210"/>
      <c r="B38" s="120"/>
      <c r="C38" s="120"/>
      <c r="D38" s="120"/>
    </row>
    <row r="39" spans="1:4" ht="15" customHeight="1" x14ac:dyDescent="0.25">
      <c r="A39" s="223" t="s">
        <v>616</v>
      </c>
      <c r="B39" s="125"/>
      <c r="C39" s="120"/>
      <c r="D39" s="220">
        <v>1300</v>
      </c>
    </row>
    <row r="40" spans="1:4" ht="15" customHeight="1" x14ac:dyDescent="0.25">
      <c r="A40" s="125"/>
      <c r="B40" s="125"/>
      <c r="C40" s="120"/>
      <c r="D40" s="120"/>
    </row>
    <row r="41" spans="1:4" ht="15" customHeight="1" x14ac:dyDescent="0.25">
      <c r="A41" s="223" t="s">
        <v>496</v>
      </c>
      <c r="B41" s="125"/>
      <c r="C41" s="120"/>
      <c r="D41" s="120"/>
    </row>
    <row r="42" spans="1:4" ht="15" customHeight="1" x14ac:dyDescent="0.25">
      <c r="A42" s="224" t="s">
        <v>621</v>
      </c>
      <c r="B42" s="221"/>
      <c r="C42" s="220"/>
      <c r="D42" s="220">
        <v>1275.8399999999999</v>
      </c>
    </row>
    <row r="43" spans="1:4" s="125" customFormat="1" ht="15" customHeight="1" x14ac:dyDescent="0.25">
      <c r="A43" s="224" t="s">
        <v>622</v>
      </c>
      <c r="B43" s="221"/>
      <c r="C43" s="220"/>
      <c r="D43" s="220">
        <v>3000</v>
      </c>
    </row>
    <row r="44" spans="1:4" ht="15" customHeight="1" x14ac:dyDescent="0.25">
      <c r="A44" s="224" t="s">
        <v>623</v>
      </c>
      <c r="B44" s="221"/>
      <c r="C44" s="220"/>
      <c r="D44" s="220">
        <v>5000</v>
      </c>
    </row>
    <row r="45" spans="1:4" ht="24.75" customHeight="1" x14ac:dyDescent="0.25">
      <c r="A45" s="224" t="s">
        <v>624</v>
      </c>
      <c r="B45" s="221"/>
      <c r="C45" s="220"/>
      <c r="D45" s="220">
        <v>3500</v>
      </c>
    </row>
    <row r="46" spans="1:4" ht="15" customHeight="1" x14ac:dyDescent="0.25">
      <c r="A46" s="224" t="s">
        <v>625</v>
      </c>
      <c r="B46" s="221"/>
      <c r="C46" s="220"/>
      <c r="D46" s="220">
        <v>2000</v>
      </c>
    </row>
    <row r="47" spans="1:4" ht="15" customHeight="1" x14ac:dyDescent="0.25">
      <c r="A47" s="224" t="s">
        <v>626</v>
      </c>
      <c r="B47" s="221"/>
      <c r="C47" s="220"/>
      <c r="D47" s="220">
        <v>2000</v>
      </c>
    </row>
    <row r="48" spans="1:4" ht="15" customHeight="1" x14ac:dyDescent="0.25">
      <c r="A48" s="224"/>
      <c r="B48" s="221"/>
      <c r="C48" s="220"/>
      <c r="D48" s="220"/>
    </row>
    <row r="49" spans="1:4" ht="15" customHeight="1" x14ac:dyDescent="0.25">
      <c r="A49" s="125"/>
      <c r="B49" s="220"/>
      <c r="C49" s="220"/>
      <c r="D49" s="226"/>
    </row>
    <row r="50" spans="1:4" ht="15" customHeight="1" thickBot="1" x14ac:dyDescent="0.3">
      <c r="A50" s="125"/>
      <c r="B50" s="225">
        <f>SUM(B30:B46)</f>
        <v>5378.65</v>
      </c>
      <c r="C50" s="220"/>
      <c r="D50" s="225">
        <f>SUM(D30:D47)</f>
        <v>23642.65</v>
      </c>
    </row>
    <row r="51" spans="1:4" ht="15" customHeight="1" x14ac:dyDescent="0.25">
      <c r="B51" s="85"/>
      <c r="C51" s="85"/>
      <c r="D51" s="85"/>
    </row>
    <row r="52" spans="1:4" ht="15" customHeight="1" x14ac:dyDescent="0.25">
      <c r="A52" s="125"/>
      <c r="B52" s="125"/>
      <c r="C52" s="125"/>
      <c r="D52" s="120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  <pageSetUpPr fitToPage="1"/>
  </sheetPr>
  <dimension ref="A1:AG43"/>
  <sheetViews>
    <sheetView topLeftCell="B4" workbookViewId="0">
      <selection activeCell="P40" sqref="P40"/>
    </sheetView>
  </sheetViews>
  <sheetFormatPr defaultColWidth="9.85546875" defaultRowHeight="12.75" x14ac:dyDescent="0.2"/>
  <cols>
    <col min="1" max="1" width="24" style="3" bestFit="1" customWidth="1"/>
    <col min="2" max="2" width="9.85546875" style="12"/>
    <col min="3" max="16384" width="9.85546875" style="3"/>
  </cols>
  <sheetData>
    <row r="1" spans="1:33" x14ac:dyDescent="0.2">
      <c r="A1" s="49" t="s">
        <v>0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3" x14ac:dyDescent="0.2">
      <c r="A2" s="49" t="s">
        <v>601</v>
      </c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</row>
    <row r="3" spans="1:33" x14ac:dyDescent="0.2">
      <c r="A3" s="53"/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</row>
    <row r="4" spans="1:33" ht="15" x14ac:dyDescent="0.25">
      <c r="A4" s="51"/>
      <c r="B4" s="50"/>
      <c r="C4" s="51"/>
      <c r="D4" s="51"/>
      <c r="E4" s="51"/>
      <c r="F4" s="51"/>
      <c r="G4" s="51"/>
      <c r="H4" s="51"/>
      <c r="I4" s="51"/>
      <c r="J4" s="289" t="s">
        <v>333</v>
      </c>
      <c r="K4" s="290"/>
      <c r="L4" s="290"/>
      <c r="M4" s="290"/>
      <c r="N4" s="89"/>
      <c r="O4" s="289" t="s">
        <v>132</v>
      </c>
      <c r="P4" s="291"/>
      <c r="Q4" s="291"/>
      <c r="R4" s="64"/>
      <c r="S4" s="290" t="s">
        <v>334</v>
      </c>
      <c r="T4" s="290"/>
      <c r="U4" s="290"/>
      <c r="V4" s="290"/>
      <c r="W4" s="290"/>
      <c r="X4" s="290"/>
      <c r="Y4" s="290"/>
      <c r="Z4" s="50"/>
      <c r="AA4" s="50"/>
      <c r="AB4" s="50"/>
      <c r="AC4" s="50"/>
      <c r="AD4" s="50"/>
      <c r="AE4" s="51"/>
      <c r="AF4" s="51"/>
      <c r="AG4" s="51"/>
    </row>
    <row r="5" spans="1:33" ht="38.25" customHeight="1" x14ac:dyDescent="0.2">
      <c r="A5" s="49" t="s">
        <v>335</v>
      </c>
      <c r="B5" s="50"/>
      <c r="C5" s="52" t="s">
        <v>336</v>
      </c>
      <c r="D5" s="52" t="s">
        <v>132</v>
      </c>
      <c r="E5" s="52" t="s">
        <v>334</v>
      </c>
      <c r="F5" s="50" t="s">
        <v>108</v>
      </c>
      <c r="G5" s="51"/>
      <c r="H5" s="217" t="s">
        <v>379</v>
      </c>
      <c r="I5" s="217" t="s">
        <v>378</v>
      </c>
      <c r="J5" s="86" t="s">
        <v>603</v>
      </c>
      <c r="K5" s="86" t="s">
        <v>353</v>
      </c>
      <c r="L5" s="86" t="s">
        <v>602</v>
      </c>
      <c r="M5" s="86"/>
      <c r="N5" s="86"/>
      <c r="O5" s="86" t="s">
        <v>380</v>
      </c>
      <c r="P5" s="86" t="s">
        <v>108</v>
      </c>
      <c r="Q5" s="86"/>
      <c r="R5" s="86" t="s">
        <v>339</v>
      </c>
      <c r="S5" s="86" t="s">
        <v>340</v>
      </c>
      <c r="T5" s="86" t="s">
        <v>444</v>
      </c>
      <c r="U5" s="86" t="s">
        <v>380</v>
      </c>
      <c r="V5" s="86" t="s">
        <v>604</v>
      </c>
      <c r="W5" s="86"/>
      <c r="X5" s="53"/>
      <c r="Y5" s="51"/>
      <c r="Z5" s="52"/>
    </row>
    <row r="6" spans="1:33" x14ac:dyDescent="0.2">
      <c r="A6" s="51"/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33" x14ac:dyDescent="0.2">
      <c r="A7" s="51" t="s">
        <v>341</v>
      </c>
      <c r="B7" s="50" t="s">
        <v>342</v>
      </c>
      <c r="C7" s="51"/>
      <c r="D7" s="51"/>
      <c r="E7" s="51"/>
      <c r="F7" s="51"/>
      <c r="G7" s="51"/>
      <c r="H7" s="3" t="s">
        <v>352</v>
      </c>
      <c r="I7" s="3" t="s">
        <v>352</v>
      </c>
      <c r="J7" s="3" t="s">
        <v>352</v>
      </c>
      <c r="K7" s="3" t="s">
        <v>352</v>
      </c>
      <c r="L7" s="3" t="s">
        <v>352</v>
      </c>
      <c r="M7" s="3" t="s">
        <v>16</v>
      </c>
      <c r="O7" s="3" t="s">
        <v>352</v>
      </c>
      <c r="P7" s="3" t="s">
        <v>16</v>
      </c>
      <c r="R7" s="3" t="s">
        <v>352</v>
      </c>
      <c r="S7" s="3" t="s">
        <v>352</v>
      </c>
      <c r="T7" s="3" t="s">
        <v>352</v>
      </c>
      <c r="U7" s="3" t="s">
        <v>352</v>
      </c>
      <c r="V7" s="3" t="s">
        <v>352</v>
      </c>
      <c r="W7" s="3" t="s">
        <v>16</v>
      </c>
    </row>
    <row r="8" spans="1:33" x14ac:dyDescent="0.2">
      <c r="A8" s="54">
        <v>44652</v>
      </c>
      <c r="B8" s="50">
        <v>1</v>
      </c>
      <c r="C8" s="55">
        <f t="shared" ref="C8:C19" si="0">M8</f>
        <v>319.47999999999996</v>
      </c>
      <c r="D8" s="55">
        <f t="shared" ref="D8:D19" si="1">P8</f>
        <v>42.46</v>
      </c>
      <c r="E8" s="55">
        <f t="shared" ref="E8:E19" si="2">W8</f>
        <v>0</v>
      </c>
      <c r="F8" s="55">
        <f t="shared" ref="F8:F19" si="3">D8+C8+E8</f>
        <v>361.93999999999994</v>
      </c>
      <c r="G8" s="51"/>
      <c r="H8" s="3">
        <v>275.33999999999997</v>
      </c>
      <c r="I8" s="3">
        <v>0</v>
      </c>
      <c r="J8" s="3">
        <v>0</v>
      </c>
      <c r="K8" s="3">
        <v>44.14</v>
      </c>
      <c r="L8" s="3">
        <v>0</v>
      </c>
      <c r="M8" s="3">
        <f>SUM(H8:L8)</f>
        <v>319.47999999999996</v>
      </c>
      <c r="O8" s="3">
        <v>42.46</v>
      </c>
      <c r="P8" s="3">
        <f>O8</f>
        <v>42.46</v>
      </c>
      <c r="S8" s="3">
        <v>0</v>
      </c>
      <c r="T8" s="3">
        <v>0</v>
      </c>
      <c r="U8" s="3">
        <v>0</v>
      </c>
      <c r="V8" s="3">
        <v>0</v>
      </c>
      <c r="W8" s="3">
        <f t="shared" ref="W8:W19" si="4">SUM(R8:T8)+U8</f>
        <v>0</v>
      </c>
    </row>
    <row r="9" spans="1:33" x14ac:dyDescent="0.2">
      <c r="A9" s="54">
        <v>44682</v>
      </c>
      <c r="B9" s="50">
        <v>2</v>
      </c>
      <c r="C9" s="55">
        <f t="shared" si="0"/>
        <v>52.35</v>
      </c>
      <c r="D9" s="55">
        <f t="shared" si="1"/>
        <v>5.24</v>
      </c>
      <c r="E9" s="55">
        <f t="shared" si="2"/>
        <v>45.45</v>
      </c>
      <c r="F9" s="55">
        <f t="shared" si="3"/>
        <v>103.04</v>
      </c>
      <c r="G9" s="51"/>
      <c r="H9" s="3">
        <v>0</v>
      </c>
      <c r="I9" s="3">
        <v>0</v>
      </c>
      <c r="J9" s="3">
        <v>0</v>
      </c>
      <c r="K9" s="3">
        <v>52.35</v>
      </c>
      <c r="L9" s="3">
        <v>0</v>
      </c>
      <c r="M9" s="3">
        <f t="shared" ref="M9:M19" si="5">SUM(H9:L9)</f>
        <v>52.35</v>
      </c>
      <c r="O9" s="3">
        <v>5.24</v>
      </c>
      <c r="P9" s="3">
        <f t="shared" ref="P9:P19" si="6">O9</f>
        <v>5.24</v>
      </c>
      <c r="R9" s="3">
        <v>0</v>
      </c>
      <c r="S9" s="3">
        <v>45.45</v>
      </c>
      <c r="T9" s="3">
        <v>0</v>
      </c>
      <c r="U9" s="3">
        <v>0</v>
      </c>
      <c r="V9" s="3">
        <v>0</v>
      </c>
      <c r="W9" s="3">
        <f t="shared" si="4"/>
        <v>45.45</v>
      </c>
    </row>
    <row r="10" spans="1:33" x14ac:dyDescent="0.2">
      <c r="A10" s="54">
        <v>44713</v>
      </c>
      <c r="B10" s="50">
        <v>3</v>
      </c>
      <c r="C10" s="55">
        <f t="shared" si="0"/>
        <v>52.35</v>
      </c>
      <c r="D10" s="55">
        <f t="shared" si="1"/>
        <v>29.3</v>
      </c>
      <c r="E10" s="55">
        <f t="shared" si="2"/>
        <v>57.41</v>
      </c>
      <c r="F10" s="55">
        <f t="shared" si="3"/>
        <v>139.06</v>
      </c>
      <c r="G10" s="51"/>
      <c r="H10" s="3">
        <v>0</v>
      </c>
      <c r="I10" s="3">
        <v>0</v>
      </c>
      <c r="J10" s="3">
        <v>0</v>
      </c>
      <c r="K10" s="3">
        <v>52.35</v>
      </c>
      <c r="L10" s="3">
        <v>0</v>
      </c>
      <c r="M10" s="3">
        <f t="shared" si="5"/>
        <v>52.35</v>
      </c>
      <c r="O10" s="3">
        <v>29.3</v>
      </c>
      <c r="P10" s="3">
        <f t="shared" si="6"/>
        <v>29.3</v>
      </c>
      <c r="R10" s="3">
        <v>0</v>
      </c>
      <c r="S10" s="3">
        <v>57.41</v>
      </c>
      <c r="T10" s="3">
        <v>0</v>
      </c>
      <c r="U10" s="3">
        <v>0</v>
      </c>
      <c r="V10" s="3">
        <v>0</v>
      </c>
      <c r="W10" s="3">
        <f t="shared" si="4"/>
        <v>57.41</v>
      </c>
    </row>
    <row r="11" spans="1:33" x14ac:dyDescent="0.2">
      <c r="A11" s="54">
        <v>44743</v>
      </c>
      <c r="B11" s="50">
        <v>4</v>
      </c>
      <c r="C11" s="55">
        <f t="shared" si="0"/>
        <v>242.65999999999997</v>
      </c>
      <c r="D11" s="55">
        <f t="shared" si="1"/>
        <v>0</v>
      </c>
      <c r="E11" s="55">
        <f t="shared" si="2"/>
        <v>40.200000000000003</v>
      </c>
      <c r="F11" s="55">
        <f>D11+C11+E11</f>
        <v>282.85999999999996</v>
      </c>
      <c r="G11" s="55"/>
      <c r="H11" s="3">
        <v>0</v>
      </c>
      <c r="I11" s="3">
        <v>18.45</v>
      </c>
      <c r="J11" s="3">
        <v>134.25</v>
      </c>
      <c r="K11" s="3">
        <v>81.760000000000005</v>
      </c>
      <c r="L11" s="3">
        <v>8.1999999999999993</v>
      </c>
      <c r="M11" s="3">
        <f t="shared" si="5"/>
        <v>242.65999999999997</v>
      </c>
      <c r="O11" s="3">
        <v>0</v>
      </c>
      <c r="P11" s="3">
        <f t="shared" si="6"/>
        <v>0</v>
      </c>
      <c r="R11" s="3">
        <v>0</v>
      </c>
      <c r="S11" s="3">
        <v>40.200000000000003</v>
      </c>
      <c r="T11" s="3">
        <v>0</v>
      </c>
      <c r="U11" s="3">
        <v>0</v>
      </c>
      <c r="V11" s="3">
        <v>0</v>
      </c>
      <c r="W11" s="3">
        <f t="shared" si="4"/>
        <v>40.200000000000003</v>
      </c>
    </row>
    <row r="12" spans="1:33" x14ac:dyDescent="0.2">
      <c r="A12" s="54">
        <v>44774</v>
      </c>
      <c r="B12" s="50">
        <v>5</v>
      </c>
      <c r="C12" s="55">
        <f t="shared" si="0"/>
        <v>207.27999999999997</v>
      </c>
      <c r="D12" s="55">
        <f t="shared" si="1"/>
        <v>0</v>
      </c>
      <c r="E12" s="55">
        <f t="shared" si="2"/>
        <v>22.62</v>
      </c>
      <c r="F12" s="55">
        <f t="shared" si="3"/>
        <v>229.89999999999998</v>
      </c>
      <c r="G12" s="51"/>
      <c r="H12" s="3">
        <v>0</v>
      </c>
      <c r="I12" s="3">
        <v>0</v>
      </c>
      <c r="J12" s="3">
        <v>154.94</v>
      </c>
      <c r="K12" s="3">
        <v>44.14</v>
      </c>
      <c r="L12" s="3">
        <v>8.1999999999999993</v>
      </c>
      <c r="M12" s="3">
        <f t="shared" si="5"/>
        <v>207.27999999999997</v>
      </c>
      <c r="O12" s="3">
        <v>0</v>
      </c>
      <c r="P12" s="3">
        <f t="shared" si="6"/>
        <v>0</v>
      </c>
      <c r="R12" s="3">
        <v>0</v>
      </c>
      <c r="S12" s="3">
        <v>22.62</v>
      </c>
      <c r="T12" s="3">
        <v>0</v>
      </c>
      <c r="U12" s="3">
        <v>0</v>
      </c>
      <c r="V12" s="3">
        <v>0</v>
      </c>
      <c r="W12" s="3">
        <f t="shared" si="4"/>
        <v>22.62</v>
      </c>
    </row>
    <row r="13" spans="1:33" x14ac:dyDescent="0.2">
      <c r="A13" s="54">
        <v>44805</v>
      </c>
      <c r="B13" s="50">
        <v>6</v>
      </c>
      <c r="C13" s="55">
        <f t="shared" si="0"/>
        <v>230.67999999999998</v>
      </c>
      <c r="D13" s="55">
        <f t="shared" si="1"/>
        <v>0</v>
      </c>
      <c r="E13" s="55">
        <f t="shared" si="2"/>
        <v>64.38</v>
      </c>
      <c r="F13" s="55">
        <f t="shared" si="3"/>
        <v>295.05999999999995</v>
      </c>
      <c r="G13" s="51"/>
      <c r="H13" s="3">
        <v>0</v>
      </c>
      <c r="I13" s="3">
        <v>0</v>
      </c>
      <c r="J13" s="3">
        <v>154.94</v>
      </c>
      <c r="K13" s="3">
        <v>47.79</v>
      </c>
      <c r="L13" s="3">
        <v>27.95</v>
      </c>
      <c r="M13" s="3">
        <f t="shared" si="5"/>
        <v>230.67999999999998</v>
      </c>
      <c r="O13" s="3">
        <v>0</v>
      </c>
      <c r="P13" s="3">
        <f t="shared" si="6"/>
        <v>0</v>
      </c>
      <c r="R13" s="3">
        <v>12.95</v>
      </c>
      <c r="S13" s="3">
        <v>51.43</v>
      </c>
      <c r="T13" s="3">
        <v>0</v>
      </c>
      <c r="U13" s="3">
        <v>0</v>
      </c>
      <c r="V13" s="3">
        <v>0</v>
      </c>
      <c r="W13" s="3">
        <f t="shared" si="4"/>
        <v>64.38</v>
      </c>
    </row>
    <row r="14" spans="1:33" x14ac:dyDescent="0.2">
      <c r="A14" s="54">
        <v>44835</v>
      </c>
      <c r="B14" s="50">
        <v>7</v>
      </c>
      <c r="C14" s="55">
        <f t="shared" si="0"/>
        <v>207.27999999999997</v>
      </c>
      <c r="D14" s="55">
        <f t="shared" si="1"/>
        <v>0</v>
      </c>
      <c r="E14" s="55">
        <f t="shared" si="2"/>
        <v>0</v>
      </c>
      <c r="F14" s="55">
        <f t="shared" si="3"/>
        <v>207.27999999999997</v>
      </c>
      <c r="G14" s="51"/>
      <c r="H14" s="3">
        <v>0</v>
      </c>
      <c r="I14" s="3">
        <v>0</v>
      </c>
      <c r="J14" s="3">
        <v>154.94</v>
      </c>
      <c r="K14" s="3">
        <v>44.14</v>
      </c>
      <c r="L14" s="3">
        <v>8.1999999999999993</v>
      </c>
      <c r="M14" s="3">
        <f t="shared" si="5"/>
        <v>207.27999999999997</v>
      </c>
      <c r="O14" s="3">
        <v>0</v>
      </c>
      <c r="P14" s="3">
        <f t="shared" si="6"/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f t="shared" si="4"/>
        <v>0</v>
      </c>
    </row>
    <row r="15" spans="1:33" x14ac:dyDescent="0.2">
      <c r="A15" s="54">
        <v>44866</v>
      </c>
      <c r="B15" s="50">
        <v>8</v>
      </c>
      <c r="C15" s="55">
        <f t="shared" si="0"/>
        <v>190.06</v>
      </c>
      <c r="D15" s="55">
        <f t="shared" si="1"/>
        <v>0</v>
      </c>
      <c r="E15" s="55">
        <f t="shared" si="2"/>
        <v>25.22</v>
      </c>
      <c r="F15" s="55">
        <f t="shared" si="3"/>
        <v>215.28</v>
      </c>
      <c r="G15" s="51"/>
      <c r="H15" s="3">
        <v>0</v>
      </c>
      <c r="I15" s="3">
        <v>0</v>
      </c>
      <c r="J15" s="3">
        <v>142.07</v>
      </c>
      <c r="K15" s="3">
        <v>40.47</v>
      </c>
      <c r="L15" s="3">
        <v>7.52</v>
      </c>
      <c r="M15" s="3">
        <f t="shared" si="5"/>
        <v>190.06</v>
      </c>
      <c r="O15" s="3">
        <v>0</v>
      </c>
      <c r="P15" s="3">
        <f t="shared" si="6"/>
        <v>0</v>
      </c>
      <c r="R15" s="3">
        <v>0</v>
      </c>
      <c r="S15" s="3">
        <v>25.22</v>
      </c>
      <c r="T15" s="3">
        <v>0</v>
      </c>
      <c r="U15" s="3">
        <v>0</v>
      </c>
      <c r="V15" s="3">
        <v>0</v>
      </c>
      <c r="W15" s="3">
        <f t="shared" si="4"/>
        <v>25.22</v>
      </c>
    </row>
    <row r="16" spans="1:33" x14ac:dyDescent="0.2">
      <c r="A16" s="54">
        <v>44896</v>
      </c>
      <c r="B16" s="50">
        <v>9</v>
      </c>
      <c r="C16" s="55">
        <f t="shared" si="0"/>
        <v>190.06</v>
      </c>
      <c r="D16" s="55">
        <f t="shared" si="1"/>
        <v>0</v>
      </c>
      <c r="E16" s="55">
        <f t="shared" si="2"/>
        <v>50.07</v>
      </c>
      <c r="F16" s="55">
        <f t="shared" si="3"/>
        <v>240.13</v>
      </c>
      <c r="G16" s="51"/>
      <c r="H16" s="3">
        <v>0</v>
      </c>
      <c r="I16" s="3">
        <v>0</v>
      </c>
      <c r="J16" s="3">
        <v>142.07</v>
      </c>
      <c r="K16" s="3">
        <v>40.47</v>
      </c>
      <c r="L16" s="3">
        <v>7.52</v>
      </c>
      <c r="M16" s="3">
        <f t="shared" si="5"/>
        <v>190.06</v>
      </c>
      <c r="O16" s="3">
        <v>0</v>
      </c>
      <c r="P16" s="3">
        <f t="shared" si="6"/>
        <v>0</v>
      </c>
      <c r="R16" s="3">
        <v>0</v>
      </c>
      <c r="S16" s="3">
        <v>50.07</v>
      </c>
      <c r="T16" s="3">
        <v>0</v>
      </c>
      <c r="U16" s="3">
        <v>0</v>
      </c>
      <c r="V16" s="3">
        <v>0</v>
      </c>
      <c r="W16" s="3">
        <f t="shared" si="4"/>
        <v>50.07</v>
      </c>
    </row>
    <row r="17" spans="1:33" x14ac:dyDescent="0.2">
      <c r="A17" s="54">
        <v>44927</v>
      </c>
      <c r="B17" s="50">
        <v>10</v>
      </c>
      <c r="C17" s="55">
        <f t="shared" si="0"/>
        <v>190.06</v>
      </c>
      <c r="D17" s="55">
        <f t="shared" si="1"/>
        <v>0</v>
      </c>
      <c r="E17" s="55">
        <f t="shared" si="2"/>
        <v>23.39</v>
      </c>
      <c r="F17" s="55">
        <f t="shared" si="3"/>
        <v>213.45</v>
      </c>
      <c r="G17" s="51"/>
      <c r="H17" s="3">
        <v>0</v>
      </c>
      <c r="I17" s="3">
        <v>0</v>
      </c>
      <c r="J17" s="3">
        <v>142.07</v>
      </c>
      <c r="K17" s="3">
        <v>40.47</v>
      </c>
      <c r="L17" s="3">
        <v>7.52</v>
      </c>
      <c r="M17" s="3">
        <f t="shared" si="5"/>
        <v>190.06</v>
      </c>
      <c r="O17" s="3">
        <v>0</v>
      </c>
      <c r="P17" s="3">
        <f t="shared" si="6"/>
        <v>0</v>
      </c>
      <c r="R17" s="3">
        <v>0</v>
      </c>
      <c r="S17" s="3">
        <v>23.39</v>
      </c>
      <c r="T17" s="3">
        <v>0</v>
      </c>
      <c r="U17" s="3">
        <v>0</v>
      </c>
      <c r="V17" s="3">
        <v>0</v>
      </c>
      <c r="W17" s="3">
        <f t="shared" si="4"/>
        <v>23.39</v>
      </c>
    </row>
    <row r="18" spans="1:33" x14ac:dyDescent="0.2">
      <c r="A18" s="54">
        <v>44958</v>
      </c>
      <c r="B18" s="50">
        <v>11</v>
      </c>
      <c r="C18" s="55">
        <f t="shared" si="0"/>
        <v>190.06</v>
      </c>
      <c r="D18" s="55">
        <f t="shared" si="1"/>
        <v>0</v>
      </c>
      <c r="E18" s="55">
        <f t="shared" si="2"/>
        <v>7.85</v>
      </c>
      <c r="F18" s="55">
        <f t="shared" si="3"/>
        <v>197.91</v>
      </c>
      <c r="G18" s="51"/>
      <c r="H18" s="3">
        <v>0</v>
      </c>
      <c r="I18" s="3">
        <v>0</v>
      </c>
      <c r="J18" s="3">
        <v>142.07</v>
      </c>
      <c r="K18" s="3">
        <v>40.47</v>
      </c>
      <c r="L18" s="3">
        <v>7.52</v>
      </c>
      <c r="M18" s="3">
        <f t="shared" si="5"/>
        <v>190.06</v>
      </c>
      <c r="O18" s="3">
        <v>0</v>
      </c>
      <c r="P18" s="3">
        <f t="shared" si="6"/>
        <v>0</v>
      </c>
      <c r="R18" s="3">
        <v>0</v>
      </c>
      <c r="S18" s="3">
        <v>7.85</v>
      </c>
      <c r="T18" s="3">
        <v>0</v>
      </c>
      <c r="U18" s="3">
        <v>0</v>
      </c>
      <c r="V18" s="3">
        <v>0</v>
      </c>
      <c r="W18" s="3">
        <f t="shared" si="4"/>
        <v>7.85</v>
      </c>
    </row>
    <row r="19" spans="1:33" x14ac:dyDescent="0.2">
      <c r="A19" s="54">
        <v>44986</v>
      </c>
      <c r="B19" s="50">
        <v>12</v>
      </c>
      <c r="C19" s="55">
        <f t="shared" si="0"/>
        <v>190.06</v>
      </c>
      <c r="D19" s="55">
        <f t="shared" si="1"/>
        <v>0</v>
      </c>
      <c r="E19" s="55">
        <f t="shared" si="2"/>
        <v>96.53</v>
      </c>
      <c r="F19" s="55">
        <f t="shared" si="3"/>
        <v>286.59000000000003</v>
      </c>
      <c r="G19" s="51"/>
      <c r="H19" s="3">
        <v>0</v>
      </c>
      <c r="I19" s="3">
        <v>0</v>
      </c>
      <c r="J19" s="3">
        <v>142.07</v>
      </c>
      <c r="K19" s="3">
        <v>40.47</v>
      </c>
      <c r="L19" s="3">
        <v>7.52</v>
      </c>
      <c r="M19" s="3">
        <f t="shared" si="5"/>
        <v>190.06</v>
      </c>
      <c r="O19" s="3">
        <v>0</v>
      </c>
      <c r="P19" s="3">
        <f t="shared" si="6"/>
        <v>0</v>
      </c>
      <c r="R19" s="3">
        <v>0</v>
      </c>
      <c r="S19" s="3">
        <v>96.53</v>
      </c>
      <c r="T19" s="3">
        <v>0</v>
      </c>
      <c r="U19" s="3">
        <v>0</v>
      </c>
      <c r="V19" s="3">
        <v>0</v>
      </c>
      <c r="W19" s="3">
        <f t="shared" si="4"/>
        <v>96.53</v>
      </c>
    </row>
    <row r="20" spans="1:33" ht="13.5" thickBot="1" x14ac:dyDescent="0.25">
      <c r="A20" s="51"/>
      <c r="B20" s="50"/>
      <c r="C20" s="56">
        <f>SUM(C8:C19)</f>
        <v>2262.3799999999997</v>
      </c>
      <c r="D20" s="56">
        <f>SUM(D8:D19)</f>
        <v>77</v>
      </c>
      <c r="E20" s="56">
        <f>SUM(E8:E19)</f>
        <v>433.12</v>
      </c>
      <c r="F20" s="57">
        <f>SUM(F8:F19)</f>
        <v>2772.4999999999995</v>
      </c>
      <c r="G20" s="51"/>
      <c r="H20" s="56">
        <f>SUM(H8:H19)</f>
        <v>275.33999999999997</v>
      </c>
      <c r="I20" s="56">
        <f>SUM(I8:I19)</f>
        <v>18.45</v>
      </c>
      <c r="J20" s="56">
        <f>SUM(J8:J19)</f>
        <v>1309.4199999999996</v>
      </c>
      <c r="K20" s="56">
        <f>SUM(K8:K19)</f>
        <v>569.0200000000001</v>
      </c>
      <c r="L20" s="56">
        <f>SUM(L8:L19)</f>
        <v>90.149999999999977</v>
      </c>
      <c r="M20" s="56">
        <f>SUM(H20:L20)</f>
        <v>2262.3799999999997</v>
      </c>
      <c r="O20" s="56">
        <v>0</v>
      </c>
      <c r="P20" s="56">
        <f t="shared" ref="P20" si="7">SUM(P8:P19)</f>
        <v>77</v>
      </c>
      <c r="R20" s="56">
        <f>SUM(R8:R19)</f>
        <v>12.95</v>
      </c>
      <c r="S20" s="56">
        <f>SUM(S8:S19)</f>
        <v>420.17000000000007</v>
      </c>
      <c r="T20" s="56">
        <f>SUM(T8:T19)</f>
        <v>0</v>
      </c>
      <c r="U20" s="56">
        <f t="shared" ref="U20:V20" si="8">SUM(U8:U19)</f>
        <v>0</v>
      </c>
      <c r="V20" s="56">
        <f t="shared" si="8"/>
        <v>0</v>
      </c>
      <c r="W20" s="56">
        <f>SUM(R20:U20)</f>
        <v>433.12000000000006</v>
      </c>
    </row>
    <row r="21" spans="1:33" ht="13.5" thickTop="1" x14ac:dyDescent="0.2">
      <c r="A21" s="51"/>
      <c r="B21" s="50"/>
      <c r="C21" s="51"/>
      <c r="D21" s="51"/>
      <c r="E21" s="51"/>
      <c r="F21" s="51"/>
      <c r="G21" s="51"/>
    </row>
    <row r="22" spans="1:33" x14ac:dyDescent="0.2">
      <c r="A22" s="51" t="s">
        <v>346</v>
      </c>
      <c r="B22" s="50"/>
      <c r="C22" s="51"/>
      <c r="D22" s="51"/>
      <c r="E22" s="51"/>
      <c r="F22" s="51"/>
      <c r="G22" s="51"/>
      <c r="H22" s="3" t="s">
        <v>355</v>
      </c>
    </row>
    <row r="23" spans="1:33" ht="15" x14ac:dyDescent="0.25">
      <c r="A23" s="51" t="s">
        <v>347</v>
      </c>
      <c r="B23" s="50"/>
      <c r="C23" s="51"/>
      <c r="D23" s="51"/>
      <c r="E23" s="51"/>
      <c r="F23" s="51"/>
      <c r="G23" s="51"/>
      <c r="H23" s="211" t="s">
        <v>333</v>
      </c>
      <c r="I23" s="211"/>
      <c r="J23" s="211"/>
      <c r="K23" s="211"/>
      <c r="N23" s="89"/>
      <c r="O23" s="289" t="s">
        <v>132</v>
      </c>
      <c r="P23" s="289"/>
      <c r="Q23" s="122"/>
      <c r="R23"/>
      <c r="S23" s="290" t="s">
        <v>334</v>
      </c>
      <c r="T23" s="290"/>
      <c r="U23" s="290"/>
      <c r="V23" s="290"/>
      <c r="W23" s="290"/>
      <c r="X23" s="290"/>
      <c r="Y23" s="290"/>
      <c r="Z23"/>
      <c r="AA23"/>
      <c r="AB23"/>
      <c r="AC23"/>
      <c r="AD23"/>
      <c r="AE23"/>
      <c r="AF23"/>
      <c r="AG23"/>
    </row>
    <row r="24" spans="1:33" ht="24" x14ac:dyDescent="0.2">
      <c r="A24" s="51"/>
      <c r="B24" s="50"/>
      <c r="C24" s="51"/>
      <c r="D24" s="51"/>
      <c r="E24" s="51"/>
      <c r="F24" s="51"/>
      <c r="G24" s="51"/>
      <c r="H24" s="50" t="s">
        <v>343</v>
      </c>
      <c r="I24" s="50" t="s">
        <v>343</v>
      </c>
      <c r="J24" s="50" t="s">
        <v>343</v>
      </c>
      <c r="K24" s="50" t="s">
        <v>343</v>
      </c>
      <c r="L24" s="50" t="s">
        <v>343</v>
      </c>
      <c r="M24" s="217" t="s">
        <v>337</v>
      </c>
      <c r="O24" s="50" t="s">
        <v>343</v>
      </c>
      <c r="P24" s="86" t="s">
        <v>337</v>
      </c>
      <c r="R24" s="50" t="s">
        <v>343</v>
      </c>
      <c r="S24" s="50" t="s">
        <v>343</v>
      </c>
      <c r="T24" s="50" t="s">
        <v>343</v>
      </c>
      <c r="U24" s="50" t="s">
        <v>343</v>
      </c>
      <c r="V24" s="50" t="s">
        <v>343</v>
      </c>
      <c r="W24" s="86" t="s">
        <v>338</v>
      </c>
      <c r="X24" s="95" t="s">
        <v>16</v>
      </c>
      <c r="Y24" s="51"/>
    </row>
    <row r="25" spans="1:33" x14ac:dyDescent="0.2">
      <c r="A25" s="51" t="s">
        <v>348</v>
      </c>
      <c r="B25" s="50"/>
      <c r="C25" s="51">
        <v>775.7</v>
      </c>
      <c r="D25" s="51"/>
      <c r="E25" s="51"/>
      <c r="F25" s="51" t="s">
        <v>354</v>
      </c>
      <c r="G25" s="51"/>
      <c r="H25" s="50">
        <v>30</v>
      </c>
      <c r="I25" s="50">
        <v>11</v>
      </c>
      <c r="J25" s="50">
        <v>22</v>
      </c>
      <c r="K25" s="50">
        <v>20</v>
      </c>
      <c r="L25" s="50">
        <v>10</v>
      </c>
      <c r="M25" s="86"/>
      <c r="O25" s="50">
        <v>10</v>
      </c>
      <c r="P25" s="89"/>
      <c r="R25" s="50">
        <v>6</v>
      </c>
      <c r="S25" s="50">
        <v>15</v>
      </c>
      <c r="T25" s="50">
        <v>6</v>
      </c>
      <c r="U25" s="50">
        <v>6</v>
      </c>
      <c r="V25" s="50">
        <v>3.5</v>
      </c>
      <c r="W25" s="86"/>
      <c r="X25" s="91"/>
      <c r="Y25" s="51"/>
    </row>
    <row r="26" spans="1:33" x14ac:dyDescent="0.2">
      <c r="A26" s="51" t="s">
        <v>349</v>
      </c>
      <c r="B26" s="50"/>
      <c r="C26" s="51">
        <v>801.54</v>
      </c>
      <c r="D26" s="51"/>
      <c r="E26" s="51"/>
      <c r="F26" s="54">
        <v>44652</v>
      </c>
      <c r="G26" s="51"/>
      <c r="H26" s="62">
        <f>(H25*52)/12</f>
        <v>130</v>
      </c>
      <c r="I26" s="62">
        <f>11*52/12</f>
        <v>47.666666666666664</v>
      </c>
      <c r="J26" s="62">
        <f>$J$25*52/12</f>
        <v>95.333333333333329</v>
      </c>
      <c r="K26" s="62">
        <f>$K$25*52/12</f>
        <v>86.666666666666671</v>
      </c>
      <c r="L26" s="62">
        <f>10*52/12</f>
        <v>43.333333333333336</v>
      </c>
      <c r="M26" s="87">
        <f>COUNTIF(H26:L26,"&lt;&gt;0")</f>
        <v>5</v>
      </c>
      <c r="O26" s="62">
        <f>$O$25*52/12</f>
        <v>43.333333333333336</v>
      </c>
      <c r="P26" s="87">
        <f>COUNTIF(O26:O26,"&lt;&gt;0")</f>
        <v>1</v>
      </c>
      <c r="R26" s="62">
        <f t="shared" ref="R26:R37" si="9">$R$25*52/12</f>
        <v>26</v>
      </c>
      <c r="S26" s="62">
        <f t="shared" ref="S26:S37" si="10">$S$25*39/12</f>
        <v>48.75</v>
      </c>
      <c r="T26" s="62">
        <f t="shared" ref="T26:T37" si="11">$T$25*39/12</f>
        <v>19.5</v>
      </c>
      <c r="U26" s="62">
        <f t="shared" ref="U26:U37" si="12">$U$25*52/12</f>
        <v>26</v>
      </c>
      <c r="V26" s="62">
        <v>0</v>
      </c>
      <c r="W26" s="87">
        <f>COUNTIF(R26:V26,"&lt;&gt;0")</f>
        <v>4</v>
      </c>
      <c r="X26" s="92">
        <f>M26+P26+W26</f>
        <v>10</v>
      </c>
      <c r="Y26" s="51"/>
    </row>
    <row r="27" spans="1:33" x14ac:dyDescent="0.2">
      <c r="A27" s="51" t="s">
        <v>350</v>
      </c>
      <c r="B27" s="50"/>
      <c r="C27" s="51">
        <v>921.43</v>
      </c>
      <c r="D27" s="51"/>
      <c r="E27" s="51"/>
      <c r="F27" s="54">
        <v>44682</v>
      </c>
      <c r="G27" s="51"/>
      <c r="H27" s="62">
        <v>0</v>
      </c>
      <c r="I27" s="62">
        <f t="shared" ref="I27:I37" si="13">11*52/12</f>
        <v>47.666666666666664</v>
      </c>
      <c r="J27" s="62">
        <f t="shared" ref="J27:J37" si="14">$J$25*52/12</f>
        <v>95.333333333333329</v>
      </c>
      <c r="K27" s="62">
        <f t="shared" ref="K27:K37" si="15">$K$25*52/12</f>
        <v>86.666666666666671</v>
      </c>
      <c r="L27" s="62">
        <f t="shared" ref="L27:L37" si="16">10*52/12</f>
        <v>43.333333333333336</v>
      </c>
      <c r="M27" s="87">
        <f t="shared" ref="M27:M37" si="17">COUNTIF(H27:L27,"&lt;&gt;0")</f>
        <v>4</v>
      </c>
      <c r="O27" s="62">
        <f t="shared" ref="O27:O37" si="18">$O$25*52/12</f>
        <v>43.333333333333336</v>
      </c>
      <c r="P27" s="87">
        <f t="shared" ref="P27:P37" si="19">COUNTIF(O27:O27,"&lt;&gt;0")</f>
        <v>1</v>
      </c>
      <c r="R27" s="62">
        <f t="shared" si="9"/>
        <v>26</v>
      </c>
      <c r="S27" s="62">
        <f t="shared" si="10"/>
        <v>48.75</v>
      </c>
      <c r="T27" s="62">
        <f t="shared" si="11"/>
        <v>19.5</v>
      </c>
      <c r="U27" s="62">
        <f t="shared" si="12"/>
        <v>26</v>
      </c>
      <c r="V27" s="62">
        <v>0</v>
      </c>
      <c r="W27" s="87">
        <f t="shared" ref="W27:W37" si="20">COUNTIF(R27:V27,"&lt;&gt;0")</f>
        <v>4</v>
      </c>
      <c r="X27" s="55">
        <f t="shared" ref="X27:X37" si="21">W27+P27+M27</f>
        <v>9</v>
      </c>
      <c r="Y27" s="51"/>
    </row>
    <row r="28" spans="1:33" x14ac:dyDescent="0.2">
      <c r="A28" s="51"/>
      <c r="B28" s="50"/>
      <c r="C28" s="57"/>
      <c r="D28" s="51"/>
      <c r="E28" s="51"/>
      <c r="F28" s="54">
        <v>44713</v>
      </c>
      <c r="G28" s="51"/>
      <c r="H28" s="62">
        <v>0</v>
      </c>
      <c r="I28" s="62">
        <f t="shared" si="13"/>
        <v>47.666666666666664</v>
      </c>
      <c r="J28" s="62">
        <f t="shared" si="14"/>
        <v>95.333333333333329</v>
      </c>
      <c r="K28" s="62">
        <f t="shared" si="15"/>
        <v>86.666666666666671</v>
      </c>
      <c r="L28" s="62">
        <f t="shared" si="16"/>
        <v>43.333333333333336</v>
      </c>
      <c r="M28" s="87">
        <f t="shared" si="17"/>
        <v>4</v>
      </c>
      <c r="O28" s="62">
        <f t="shared" si="18"/>
        <v>43.333333333333336</v>
      </c>
      <c r="P28" s="87">
        <f t="shared" si="19"/>
        <v>1</v>
      </c>
      <c r="R28" s="62">
        <f t="shared" si="9"/>
        <v>26</v>
      </c>
      <c r="S28" s="62">
        <f t="shared" si="10"/>
        <v>48.75</v>
      </c>
      <c r="T28" s="62">
        <f t="shared" si="11"/>
        <v>19.5</v>
      </c>
      <c r="U28" s="62">
        <f t="shared" si="12"/>
        <v>26</v>
      </c>
      <c r="V28" s="62">
        <v>0</v>
      </c>
      <c r="W28" s="87">
        <f t="shared" si="20"/>
        <v>4</v>
      </c>
      <c r="X28" s="92">
        <f t="shared" si="21"/>
        <v>9</v>
      </c>
      <c r="Y28" s="51"/>
    </row>
    <row r="29" spans="1:33" x14ac:dyDescent="0.2">
      <c r="A29" s="51"/>
      <c r="B29" s="50"/>
      <c r="C29" s="51"/>
      <c r="D29" s="51"/>
      <c r="E29" s="51"/>
      <c r="F29" s="54">
        <v>44743</v>
      </c>
      <c r="G29" s="51"/>
      <c r="H29" s="62">
        <v>0</v>
      </c>
      <c r="I29" s="62">
        <f t="shared" si="13"/>
        <v>47.666666666666664</v>
      </c>
      <c r="J29" s="62">
        <f t="shared" si="14"/>
        <v>95.333333333333329</v>
      </c>
      <c r="K29" s="62">
        <f t="shared" si="15"/>
        <v>86.666666666666671</v>
      </c>
      <c r="L29" s="62">
        <f t="shared" si="16"/>
        <v>43.333333333333336</v>
      </c>
      <c r="M29" s="87">
        <f t="shared" si="17"/>
        <v>4</v>
      </c>
      <c r="O29" s="62">
        <f t="shared" si="18"/>
        <v>43.333333333333336</v>
      </c>
      <c r="P29" s="87">
        <f t="shared" si="19"/>
        <v>1</v>
      </c>
      <c r="R29" s="62">
        <f t="shared" si="9"/>
        <v>26</v>
      </c>
      <c r="S29" s="62">
        <f t="shared" si="10"/>
        <v>48.75</v>
      </c>
      <c r="T29" s="62">
        <f t="shared" si="11"/>
        <v>19.5</v>
      </c>
      <c r="U29" s="62">
        <f t="shared" si="12"/>
        <v>26</v>
      </c>
      <c r="V29" s="62">
        <v>0</v>
      </c>
      <c r="W29" s="87">
        <f t="shared" si="20"/>
        <v>4</v>
      </c>
      <c r="X29" s="92">
        <f t="shared" si="21"/>
        <v>9</v>
      </c>
      <c r="Y29" s="51"/>
    </row>
    <row r="30" spans="1:33" ht="13.5" thickBot="1" x14ac:dyDescent="0.25">
      <c r="A30" s="51" t="s">
        <v>351</v>
      </c>
      <c r="B30" s="50"/>
      <c r="C30" s="56">
        <f>F20+C28</f>
        <v>2772.4999999999995</v>
      </c>
      <c r="D30" s="51"/>
      <c r="E30" s="51"/>
      <c r="F30" s="54">
        <v>44774</v>
      </c>
      <c r="G30" s="51"/>
      <c r="H30" s="62">
        <v>0</v>
      </c>
      <c r="I30" s="62">
        <f t="shared" si="13"/>
        <v>47.666666666666664</v>
      </c>
      <c r="J30" s="62">
        <f t="shared" si="14"/>
        <v>95.333333333333329</v>
      </c>
      <c r="K30" s="62">
        <f t="shared" si="15"/>
        <v>86.666666666666671</v>
      </c>
      <c r="L30" s="62">
        <f t="shared" si="16"/>
        <v>43.333333333333336</v>
      </c>
      <c r="M30" s="87">
        <f t="shared" si="17"/>
        <v>4</v>
      </c>
      <c r="O30" s="62">
        <f t="shared" si="18"/>
        <v>43.333333333333336</v>
      </c>
      <c r="P30" s="87">
        <f t="shared" si="19"/>
        <v>1</v>
      </c>
      <c r="R30" s="62">
        <f t="shared" si="9"/>
        <v>26</v>
      </c>
      <c r="S30" s="62">
        <f t="shared" si="10"/>
        <v>48.75</v>
      </c>
      <c r="T30" s="62">
        <f t="shared" si="11"/>
        <v>19.5</v>
      </c>
      <c r="U30" s="62">
        <f t="shared" si="12"/>
        <v>26</v>
      </c>
      <c r="V30" s="62">
        <v>0</v>
      </c>
      <c r="W30" s="87">
        <f t="shared" si="20"/>
        <v>4</v>
      </c>
      <c r="X30" s="92">
        <f t="shared" si="21"/>
        <v>9</v>
      </c>
      <c r="Y30" s="51"/>
    </row>
    <row r="31" spans="1:33" ht="13.5" thickTop="1" x14ac:dyDescent="0.2">
      <c r="D31" s="51"/>
      <c r="E31" s="51"/>
      <c r="F31" s="54">
        <v>44805</v>
      </c>
      <c r="G31" s="51"/>
      <c r="H31" s="62">
        <v>0</v>
      </c>
      <c r="I31" s="62">
        <f t="shared" si="13"/>
        <v>47.666666666666664</v>
      </c>
      <c r="J31" s="62">
        <f t="shared" si="14"/>
        <v>95.333333333333329</v>
      </c>
      <c r="K31" s="62">
        <f t="shared" si="15"/>
        <v>86.666666666666671</v>
      </c>
      <c r="L31" s="62">
        <f t="shared" si="16"/>
        <v>43.333333333333336</v>
      </c>
      <c r="M31" s="87">
        <f t="shared" si="17"/>
        <v>4</v>
      </c>
      <c r="O31" s="62">
        <f t="shared" si="18"/>
        <v>43.333333333333336</v>
      </c>
      <c r="P31" s="87">
        <f t="shared" si="19"/>
        <v>1</v>
      </c>
      <c r="R31" s="62">
        <f t="shared" si="9"/>
        <v>26</v>
      </c>
      <c r="S31" s="62">
        <f t="shared" si="10"/>
        <v>48.75</v>
      </c>
      <c r="T31" s="62">
        <f t="shared" si="11"/>
        <v>19.5</v>
      </c>
      <c r="U31" s="62">
        <f t="shared" si="12"/>
        <v>26</v>
      </c>
      <c r="V31" s="62">
        <v>0</v>
      </c>
      <c r="W31" s="87">
        <f t="shared" si="20"/>
        <v>4</v>
      </c>
      <c r="X31" s="92">
        <f t="shared" si="21"/>
        <v>9</v>
      </c>
      <c r="Y31" s="51"/>
    </row>
    <row r="32" spans="1:33" x14ac:dyDescent="0.2">
      <c r="C32" s="51"/>
      <c r="D32" s="51"/>
      <c r="E32" s="51"/>
      <c r="F32" s="54">
        <v>44835</v>
      </c>
      <c r="G32" s="51"/>
      <c r="H32" s="62">
        <v>0</v>
      </c>
      <c r="I32" s="62">
        <f t="shared" si="13"/>
        <v>47.666666666666664</v>
      </c>
      <c r="J32" s="62">
        <f t="shared" si="14"/>
        <v>95.333333333333329</v>
      </c>
      <c r="K32" s="62">
        <f t="shared" si="15"/>
        <v>86.666666666666671</v>
      </c>
      <c r="L32" s="62">
        <f t="shared" si="16"/>
        <v>43.333333333333336</v>
      </c>
      <c r="M32" s="87">
        <f t="shared" si="17"/>
        <v>4</v>
      </c>
      <c r="O32" s="62">
        <f t="shared" si="18"/>
        <v>43.333333333333336</v>
      </c>
      <c r="P32" s="87">
        <f t="shared" si="19"/>
        <v>1</v>
      </c>
      <c r="R32" s="62">
        <f t="shared" si="9"/>
        <v>26</v>
      </c>
      <c r="S32" s="62">
        <f t="shared" si="10"/>
        <v>48.75</v>
      </c>
      <c r="T32" s="62">
        <f t="shared" si="11"/>
        <v>19.5</v>
      </c>
      <c r="U32" s="62">
        <f t="shared" si="12"/>
        <v>26</v>
      </c>
      <c r="V32" s="62">
        <v>0</v>
      </c>
      <c r="W32" s="87">
        <f t="shared" si="20"/>
        <v>4</v>
      </c>
      <c r="X32" s="92">
        <f t="shared" si="21"/>
        <v>9</v>
      </c>
      <c r="Y32" s="51"/>
    </row>
    <row r="33" spans="6:27" x14ac:dyDescent="0.2">
      <c r="F33" s="54">
        <v>44866</v>
      </c>
      <c r="G33" s="51"/>
      <c r="H33" s="62">
        <v>0</v>
      </c>
      <c r="I33" s="62">
        <f t="shared" si="13"/>
        <v>47.666666666666664</v>
      </c>
      <c r="J33" s="62">
        <f t="shared" si="14"/>
        <v>95.333333333333329</v>
      </c>
      <c r="K33" s="62">
        <f t="shared" si="15"/>
        <v>86.666666666666671</v>
      </c>
      <c r="L33" s="62">
        <f t="shared" si="16"/>
        <v>43.333333333333336</v>
      </c>
      <c r="M33" s="87">
        <f t="shared" si="17"/>
        <v>4</v>
      </c>
      <c r="O33" s="62">
        <f t="shared" si="18"/>
        <v>43.333333333333336</v>
      </c>
      <c r="P33" s="87">
        <f t="shared" si="19"/>
        <v>1</v>
      </c>
      <c r="R33" s="62">
        <f t="shared" si="9"/>
        <v>26</v>
      </c>
      <c r="S33" s="62">
        <f t="shared" si="10"/>
        <v>48.75</v>
      </c>
      <c r="T33" s="62">
        <f t="shared" si="11"/>
        <v>19.5</v>
      </c>
      <c r="U33" s="62">
        <f t="shared" si="12"/>
        <v>26</v>
      </c>
      <c r="V33" s="62">
        <v>0</v>
      </c>
      <c r="W33" s="87">
        <f t="shared" si="20"/>
        <v>4</v>
      </c>
      <c r="X33" s="92">
        <f t="shared" si="21"/>
        <v>9</v>
      </c>
      <c r="Y33" s="51"/>
    </row>
    <row r="34" spans="6:27" x14ac:dyDescent="0.2">
      <c r="F34" s="54">
        <v>44896</v>
      </c>
      <c r="G34" s="51"/>
      <c r="H34" s="62">
        <v>0</v>
      </c>
      <c r="I34" s="62">
        <f t="shared" si="13"/>
        <v>47.666666666666664</v>
      </c>
      <c r="J34" s="62">
        <f t="shared" si="14"/>
        <v>95.333333333333329</v>
      </c>
      <c r="K34" s="62">
        <f t="shared" si="15"/>
        <v>86.666666666666671</v>
      </c>
      <c r="L34" s="62">
        <f t="shared" si="16"/>
        <v>43.333333333333336</v>
      </c>
      <c r="M34" s="87">
        <f t="shared" si="17"/>
        <v>4</v>
      </c>
      <c r="O34" s="62">
        <f t="shared" si="18"/>
        <v>43.333333333333336</v>
      </c>
      <c r="P34" s="87">
        <f t="shared" si="19"/>
        <v>1</v>
      </c>
      <c r="R34" s="62">
        <f t="shared" si="9"/>
        <v>26</v>
      </c>
      <c r="S34" s="62">
        <f t="shared" si="10"/>
        <v>48.75</v>
      </c>
      <c r="T34" s="62">
        <f t="shared" si="11"/>
        <v>19.5</v>
      </c>
      <c r="U34" s="62">
        <f t="shared" si="12"/>
        <v>26</v>
      </c>
      <c r="V34" s="62">
        <v>0</v>
      </c>
      <c r="W34" s="87">
        <f t="shared" si="20"/>
        <v>4</v>
      </c>
      <c r="X34" s="92">
        <f t="shared" si="21"/>
        <v>9</v>
      </c>
      <c r="Y34" s="51"/>
    </row>
    <row r="35" spans="6:27" x14ac:dyDescent="0.2">
      <c r="F35" s="54">
        <v>44927</v>
      </c>
      <c r="G35" s="51"/>
      <c r="H35" s="62">
        <v>0</v>
      </c>
      <c r="I35" s="62">
        <f t="shared" si="13"/>
        <v>47.666666666666664</v>
      </c>
      <c r="J35" s="62">
        <f t="shared" si="14"/>
        <v>95.333333333333329</v>
      </c>
      <c r="K35" s="62">
        <f t="shared" si="15"/>
        <v>86.666666666666671</v>
      </c>
      <c r="L35" s="62">
        <f t="shared" si="16"/>
        <v>43.333333333333336</v>
      </c>
      <c r="M35" s="87">
        <f t="shared" si="17"/>
        <v>4</v>
      </c>
      <c r="O35" s="62">
        <f t="shared" si="18"/>
        <v>43.333333333333336</v>
      </c>
      <c r="P35" s="87">
        <f t="shared" si="19"/>
        <v>1</v>
      </c>
      <c r="R35" s="62">
        <f t="shared" si="9"/>
        <v>26</v>
      </c>
      <c r="S35" s="62">
        <f t="shared" si="10"/>
        <v>48.75</v>
      </c>
      <c r="T35" s="62">
        <f t="shared" si="11"/>
        <v>19.5</v>
      </c>
      <c r="U35" s="62">
        <f t="shared" si="12"/>
        <v>26</v>
      </c>
      <c r="V35" s="62">
        <v>0</v>
      </c>
      <c r="W35" s="87">
        <f t="shared" si="20"/>
        <v>4</v>
      </c>
      <c r="X35" s="92">
        <f t="shared" si="21"/>
        <v>9</v>
      </c>
      <c r="Y35" s="51"/>
    </row>
    <row r="36" spans="6:27" x14ac:dyDescent="0.2">
      <c r="F36" s="54">
        <v>44958</v>
      </c>
      <c r="G36" s="51"/>
      <c r="H36" s="62">
        <v>0</v>
      </c>
      <c r="I36" s="62">
        <f t="shared" si="13"/>
        <v>47.666666666666664</v>
      </c>
      <c r="J36" s="62">
        <f t="shared" si="14"/>
        <v>95.333333333333329</v>
      </c>
      <c r="K36" s="62">
        <f t="shared" si="15"/>
        <v>86.666666666666671</v>
      </c>
      <c r="L36" s="62">
        <f t="shared" si="16"/>
        <v>43.333333333333336</v>
      </c>
      <c r="M36" s="87">
        <f t="shared" si="17"/>
        <v>4</v>
      </c>
      <c r="O36" s="62">
        <f t="shared" si="18"/>
        <v>43.333333333333336</v>
      </c>
      <c r="P36" s="87">
        <f t="shared" si="19"/>
        <v>1</v>
      </c>
      <c r="R36" s="62">
        <f t="shared" si="9"/>
        <v>26</v>
      </c>
      <c r="S36" s="62">
        <f t="shared" si="10"/>
        <v>48.75</v>
      </c>
      <c r="T36" s="62">
        <f t="shared" si="11"/>
        <v>19.5</v>
      </c>
      <c r="U36" s="62">
        <f t="shared" si="12"/>
        <v>26</v>
      </c>
      <c r="V36" s="62">
        <v>0</v>
      </c>
      <c r="W36" s="87">
        <f t="shared" si="20"/>
        <v>4</v>
      </c>
      <c r="X36" s="92">
        <f t="shared" si="21"/>
        <v>9</v>
      </c>
      <c r="Y36" s="51"/>
    </row>
    <row r="37" spans="6:27" x14ac:dyDescent="0.2">
      <c r="F37" s="54">
        <v>44986</v>
      </c>
      <c r="G37" s="51"/>
      <c r="H37" s="62">
        <v>0</v>
      </c>
      <c r="I37" s="62">
        <f t="shared" si="13"/>
        <v>47.666666666666664</v>
      </c>
      <c r="J37" s="62">
        <f t="shared" si="14"/>
        <v>95.333333333333329</v>
      </c>
      <c r="K37" s="62">
        <f t="shared" si="15"/>
        <v>86.666666666666671</v>
      </c>
      <c r="L37" s="62">
        <f t="shared" si="16"/>
        <v>43.333333333333336</v>
      </c>
      <c r="M37" s="87">
        <f t="shared" si="17"/>
        <v>4</v>
      </c>
      <c r="O37" s="62">
        <f t="shared" si="18"/>
        <v>43.333333333333336</v>
      </c>
      <c r="P37" s="87">
        <f t="shared" si="19"/>
        <v>1</v>
      </c>
      <c r="R37" s="62">
        <f t="shared" si="9"/>
        <v>26</v>
      </c>
      <c r="S37" s="62">
        <f t="shared" si="10"/>
        <v>48.75</v>
      </c>
      <c r="T37" s="62">
        <f t="shared" si="11"/>
        <v>19.5</v>
      </c>
      <c r="U37" s="62">
        <f t="shared" si="12"/>
        <v>26</v>
      </c>
      <c r="V37" s="62">
        <f t="shared" ref="V37" si="22">$V$25*52/12</f>
        <v>15.166666666666666</v>
      </c>
      <c r="W37" s="87">
        <f t="shared" si="20"/>
        <v>5</v>
      </c>
      <c r="X37" s="92">
        <f t="shared" si="21"/>
        <v>10</v>
      </c>
      <c r="Y37" s="51"/>
    </row>
    <row r="38" spans="6:27" x14ac:dyDescent="0.2">
      <c r="F38" s="51"/>
      <c r="G38" s="58" t="s">
        <v>344</v>
      </c>
      <c r="H38" s="59">
        <f>SUM(H26:H37)</f>
        <v>130</v>
      </c>
      <c r="I38" s="59">
        <f t="shared" ref="I38:L38" si="23">SUM(I26:I37)</f>
        <v>572</v>
      </c>
      <c r="J38" s="59">
        <f t="shared" si="23"/>
        <v>1144</v>
      </c>
      <c r="K38" s="59">
        <f t="shared" si="23"/>
        <v>1039.9999999999998</v>
      </c>
      <c r="L38" s="59">
        <f t="shared" si="23"/>
        <v>519.99999999999989</v>
      </c>
      <c r="M38" s="88">
        <f>AVERAGE(M26:M37)</f>
        <v>4.083333333333333</v>
      </c>
      <c r="O38" s="59">
        <f>SUM(O26:O37)</f>
        <v>519.99999999999989</v>
      </c>
      <c r="P38" s="88">
        <f>AVERAGE(P26:P37)</f>
        <v>1</v>
      </c>
      <c r="R38" s="59">
        <f>SUM(R26:R37)</f>
        <v>312</v>
      </c>
      <c r="S38" s="59">
        <f>SUM(S26:S37)</f>
        <v>585</v>
      </c>
      <c r="T38" s="59">
        <f>SUM(T26:T37)</f>
        <v>234</v>
      </c>
      <c r="U38" s="59">
        <f>SUM(U26:U37)</f>
        <v>312</v>
      </c>
      <c r="V38" s="59">
        <f>SUM(V26:V37)</f>
        <v>15.166666666666666</v>
      </c>
      <c r="W38" s="90">
        <f>AVERAGE(W26:W37)</f>
        <v>4.083333333333333</v>
      </c>
      <c r="X38" s="93">
        <f>AVERAGE(X26:X37)</f>
        <v>9.1666666666666661</v>
      </c>
      <c r="Y38" s="51"/>
    </row>
    <row r="39" spans="6:27" x14ac:dyDescent="0.2">
      <c r="F39" s="49"/>
      <c r="G39" s="58" t="s">
        <v>345</v>
      </c>
      <c r="H39" s="60">
        <f>ROUND(H38/1950,2)</f>
        <v>7.0000000000000007E-2</v>
      </c>
      <c r="I39" s="60">
        <f>ROUND(I38/1950,2)</f>
        <v>0.28999999999999998</v>
      </c>
      <c r="J39" s="60">
        <f>ROUND(J38/1950,2)</f>
        <v>0.59</v>
      </c>
      <c r="K39" s="60">
        <f>ROUND(K38/1950,2)</f>
        <v>0.53</v>
      </c>
      <c r="L39" s="60">
        <f>ROUND(L38/1950,2)</f>
        <v>0.27</v>
      </c>
      <c r="M39" s="60">
        <f ca="1">SUM(H39:M39)</f>
        <v>0</v>
      </c>
      <c r="O39" s="60">
        <f>ROUND(O38/1950,2)</f>
        <v>0.27</v>
      </c>
      <c r="P39" s="60">
        <f>ROUND(P38/1950,2)</f>
        <v>0</v>
      </c>
      <c r="R39" s="60">
        <f>ROUND(R38/1950,2)</f>
        <v>0.16</v>
      </c>
      <c r="S39" s="60">
        <f t="shared" ref="S39:V39" si="24">ROUND(S38/1950,2)</f>
        <v>0.3</v>
      </c>
      <c r="T39" s="60">
        <f t="shared" si="24"/>
        <v>0.12</v>
      </c>
      <c r="U39" s="60">
        <f t="shared" si="24"/>
        <v>0.16</v>
      </c>
      <c r="V39" s="60">
        <f t="shared" si="24"/>
        <v>0.01</v>
      </c>
      <c r="W39" s="60">
        <f>ROUND(W38/1950,2)</f>
        <v>0</v>
      </c>
      <c r="X39" s="60">
        <f>ROUND(X38/1950,2)</f>
        <v>0</v>
      </c>
      <c r="Y39" s="60">
        <f ca="1">SUM(T39:Y39)</f>
        <v>0</v>
      </c>
      <c r="Z39" s="94">
        <f ca="1">Y39+S39+M39</f>
        <v>0</v>
      </c>
      <c r="AA39" s="61"/>
    </row>
    <row r="42" spans="6:27" x14ac:dyDescent="0.2">
      <c r="K42" s="179">
        <f>H38+J38+I38+O38+R38+T38+U38</f>
        <v>3224</v>
      </c>
    </row>
    <row r="43" spans="6:27" x14ac:dyDescent="0.2">
      <c r="K43" s="60">
        <f>ROUND(K42/1950,2)</f>
        <v>1.65</v>
      </c>
    </row>
  </sheetData>
  <mergeCells count="5">
    <mergeCell ref="O23:P23"/>
    <mergeCell ref="S23:Y23"/>
    <mergeCell ref="J4:M4"/>
    <mergeCell ref="O4:Q4"/>
    <mergeCell ref="S4:Y4"/>
  </mergeCells>
  <pageMargins left="0.25" right="0.25" top="0.75" bottom="0.75" header="0.3" footer="0.3"/>
  <pageSetup paperSize="9" scale="63"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2C0B-4D0E-460C-89CE-97629B01E51F}">
  <dimension ref="A1:I24"/>
  <sheetViews>
    <sheetView workbookViewId="0">
      <selection activeCell="B12" sqref="B12"/>
    </sheetView>
  </sheetViews>
  <sheetFormatPr defaultColWidth="9.140625" defaultRowHeight="12.75" x14ac:dyDescent="0.2"/>
  <cols>
    <col min="1" max="16384" width="9.140625" style="3"/>
  </cols>
  <sheetData>
    <row r="1" spans="1:9" x14ac:dyDescent="0.2">
      <c r="B1" s="3" t="s">
        <v>433</v>
      </c>
      <c r="C1" s="3" t="s">
        <v>434</v>
      </c>
      <c r="D1" s="3" t="s">
        <v>435</v>
      </c>
      <c r="E1" s="3" t="s">
        <v>436</v>
      </c>
      <c r="F1" s="3" t="s">
        <v>437</v>
      </c>
      <c r="G1" s="3" t="s">
        <v>438</v>
      </c>
      <c r="H1" s="3" t="s">
        <v>439</v>
      </c>
    </row>
    <row r="2" spans="1:9" x14ac:dyDescent="0.2">
      <c r="A2" s="123">
        <v>43922</v>
      </c>
      <c r="B2" s="3">
        <v>534</v>
      </c>
      <c r="C2" s="3">
        <v>573.32000000000005</v>
      </c>
      <c r="D2" s="3">
        <v>793.48</v>
      </c>
      <c r="E2" s="3">
        <v>302.95999999999998</v>
      </c>
      <c r="I2" s="3">
        <f t="shared" ref="I2:I7" si="0">SUM(B2:E2)</f>
        <v>2203.7600000000002</v>
      </c>
    </row>
    <row r="3" spans="1:9" x14ac:dyDescent="0.2">
      <c r="A3" s="123">
        <v>43952</v>
      </c>
      <c r="B3" s="3">
        <v>534</v>
      </c>
      <c r="C3" s="3">
        <v>573.32000000000005</v>
      </c>
      <c r="D3" s="3">
        <v>793.48</v>
      </c>
      <c r="E3" s="3">
        <v>302.95999999999998</v>
      </c>
      <c r="I3" s="3">
        <f t="shared" si="0"/>
        <v>2203.7600000000002</v>
      </c>
    </row>
    <row r="4" spans="1:9" x14ac:dyDescent="0.2">
      <c r="A4" s="123">
        <v>43983</v>
      </c>
      <c r="B4" s="3">
        <v>534</v>
      </c>
      <c r="C4" s="3">
        <v>573.32000000000005</v>
      </c>
      <c r="D4" s="3">
        <v>793.48</v>
      </c>
      <c r="E4" s="3">
        <v>302.95999999999998</v>
      </c>
      <c r="I4" s="3">
        <f t="shared" si="0"/>
        <v>2203.7600000000002</v>
      </c>
    </row>
    <row r="5" spans="1:9" x14ac:dyDescent="0.2">
      <c r="A5" s="123">
        <v>44013</v>
      </c>
      <c r="B5" s="3">
        <v>534</v>
      </c>
      <c r="C5" s="3">
        <v>492</v>
      </c>
      <c r="D5" s="3">
        <v>757.81</v>
      </c>
      <c r="E5" s="3">
        <v>220.72</v>
      </c>
      <c r="I5" s="3">
        <f t="shared" si="0"/>
        <v>2004.53</v>
      </c>
    </row>
    <row r="6" spans="1:9" x14ac:dyDescent="0.2">
      <c r="A6" s="123">
        <v>44044</v>
      </c>
      <c r="B6" s="3">
        <v>534</v>
      </c>
      <c r="C6" s="3">
        <v>256.14</v>
      </c>
      <c r="D6" s="3">
        <v>329.87</v>
      </c>
      <c r="I6" s="3">
        <f>SUM(B6:E6)</f>
        <v>1120.01</v>
      </c>
    </row>
    <row r="7" spans="1:9" x14ac:dyDescent="0.2">
      <c r="A7" s="123">
        <v>44075</v>
      </c>
      <c r="B7" s="3">
        <v>231.4</v>
      </c>
      <c r="I7" s="3">
        <f t="shared" si="0"/>
        <v>231.4</v>
      </c>
    </row>
    <row r="8" spans="1:9" x14ac:dyDescent="0.2">
      <c r="A8" s="123">
        <v>44105</v>
      </c>
      <c r="I8" s="3">
        <v>0</v>
      </c>
    </row>
    <row r="9" spans="1:9" x14ac:dyDescent="0.2">
      <c r="A9" s="123">
        <v>44136</v>
      </c>
      <c r="B9" s="3">
        <v>534</v>
      </c>
      <c r="C9" s="3">
        <v>450.78</v>
      </c>
      <c r="D9" s="3">
        <v>645.84</v>
      </c>
      <c r="E9" s="3">
        <v>302.95999999999998</v>
      </c>
      <c r="F9" s="3">
        <v>1269.04</v>
      </c>
      <c r="G9" s="3">
        <v>317.38</v>
      </c>
      <c r="H9" s="3">
        <v>220.8</v>
      </c>
      <c r="I9" s="3">
        <f>SUM(B9:H9)</f>
        <v>3740.8</v>
      </c>
    </row>
    <row r="10" spans="1:9" x14ac:dyDescent="0.2">
      <c r="A10" s="123">
        <v>44166</v>
      </c>
      <c r="B10" s="3">
        <v>534</v>
      </c>
      <c r="C10" s="3">
        <v>298.77999999999997</v>
      </c>
      <c r="D10" s="3">
        <v>472.52</v>
      </c>
      <c r="E10" s="3">
        <v>256.44</v>
      </c>
      <c r="F10" s="3">
        <v>1203.22</v>
      </c>
      <c r="G10" s="3">
        <v>281.76</v>
      </c>
      <c r="H10" s="3">
        <v>220.8</v>
      </c>
      <c r="I10" s="3">
        <f>SUM(B10:H10)</f>
        <v>3267.5200000000004</v>
      </c>
    </row>
    <row r="11" spans="1:9" x14ac:dyDescent="0.2">
      <c r="A11" s="123">
        <v>44197</v>
      </c>
    </row>
    <row r="12" spans="1:9" x14ac:dyDescent="0.2">
      <c r="A12" s="123">
        <v>44228</v>
      </c>
    </row>
    <row r="13" spans="1:9" x14ac:dyDescent="0.2">
      <c r="A13" s="123">
        <v>44256</v>
      </c>
    </row>
    <row r="16" spans="1:9" x14ac:dyDescent="0.2">
      <c r="A16" s="3" t="s">
        <v>440</v>
      </c>
    </row>
    <row r="17" spans="1:4" x14ac:dyDescent="0.2">
      <c r="A17" s="124">
        <v>0.75</v>
      </c>
      <c r="B17" s="3">
        <v>951.78</v>
      </c>
      <c r="C17" s="3">
        <v>902.42</v>
      </c>
      <c r="D17" s="3" t="s">
        <v>441</v>
      </c>
    </row>
    <row r="18" spans="1:4" x14ac:dyDescent="0.2">
      <c r="A18" s="124">
        <v>0.2</v>
      </c>
      <c r="B18" s="3">
        <v>253.8</v>
      </c>
      <c r="C18" s="3">
        <v>260.44</v>
      </c>
      <c r="D18" s="3" t="s">
        <v>442</v>
      </c>
    </row>
    <row r="19" spans="1:4" x14ac:dyDescent="0.2">
      <c r="A19" s="124">
        <v>0.05</v>
      </c>
      <c r="B19" s="3">
        <v>63.46</v>
      </c>
      <c r="C19" s="3">
        <v>40.36</v>
      </c>
      <c r="D19" s="3" t="s">
        <v>10</v>
      </c>
    </row>
    <row r="22" spans="1:4" x14ac:dyDescent="0.2">
      <c r="A22" s="3" t="s">
        <v>433</v>
      </c>
    </row>
    <row r="23" spans="1:4" x14ac:dyDescent="0.2">
      <c r="A23" s="3" t="s">
        <v>443</v>
      </c>
      <c r="B23" s="3">
        <v>293.76</v>
      </c>
    </row>
    <row r="24" spans="1:4" x14ac:dyDescent="0.2">
      <c r="A24" s="3" t="s">
        <v>442</v>
      </c>
      <c r="B24" s="3">
        <v>240.24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9E2BCB20C7B04990B299EFED389CFD" ma:contentTypeVersion="14" ma:contentTypeDescription="Create a new document." ma:contentTypeScope="" ma:versionID="f74d648f9e2de79fe566f91391f559e2">
  <xsd:schema xmlns:xsd="http://www.w3.org/2001/XMLSchema" xmlns:xs="http://www.w3.org/2001/XMLSchema" xmlns:p="http://schemas.microsoft.com/office/2006/metadata/properties" xmlns:ns2="3141e477-ae42-4145-902d-5ff16c2cbe51" xmlns:ns3="f98c2d35-f6d7-4ba4-a68f-32584a1a5c55" targetNamespace="http://schemas.microsoft.com/office/2006/metadata/properties" ma:root="true" ma:fieldsID="d576e7efaee74ad88b4bd63b679cf2f9" ns2:_="" ns3:_="">
    <xsd:import namespace="3141e477-ae42-4145-902d-5ff16c2cbe51"/>
    <xsd:import namespace="f98c2d35-f6d7-4ba4-a68f-32584a1a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1e477-ae42-4145-902d-5ff16c2cb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4bae4bb-a501-43cf-b3b6-6110671aff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c2d35-f6d7-4ba4-a68f-32584a1a5c5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16c5306-010f-48a2-bfc3-1c1c4b959432}" ma:internalName="TaxCatchAll" ma:showField="CatchAllData" ma:web="f98c2d35-f6d7-4ba4-a68f-32584a1a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922D52-6E4D-4D42-86D6-3337F8D8FBF9}"/>
</file>

<file path=customXml/itemProps2.xml><?xml version="1.0" encoding="utf-8"?>
<ds:datastoreItem xmlns:ds="http://schemas.openxmlformats.org/officeDocument/2006/customXml" ds:itemID="{925D0EE2-A78E-4218-91F4-48A65EE7434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Balance Sheet</vt:lpstr>
      <vt:lpstr>SoFA</vt:lpstr>
      <vt:lpstr>Notes</vt:lpstr>
      <vt:lpstr>QB_Funds Analysis</vt:lpstr>
      <vt:lpstr>QB_Funds Analysis raw</vt:lpstr>
      <vt:lpstr>QB_Balance Sheet</vt:lpstr>
      <vt:lpstr>Fixed Assets</vt:lpstr>
      <vt:lpstr>Prepayments breakdown</vt:lpstr>
      <vt:lpstr>Accruals breakdown</vt:lpstr>
      <vt:lpstr>Aged Debt actions</vt:lpstr>
      <vt:lpstr>Income breakdown</vt:lpstr>
      <vt:lpstr>Staff Costs</vt:lpstr>
      <vt:lpstr>Furlough</vt:lpstr>
      <vt:lpstr>Notes!Print_Area</vt:lpstr>
      <vt:lpstr>SoFA!Print_Area</vt:lpstr>
      <vt:lpstr>'Staff Costs'!Print_Area</vt:lpstr>
      <vt:lpstr>Notes!Print_Titles</vt:lpstr>
      <vt:lpstr>'QB_Funds Analysis'!Print_Titles</vt:lpstr>
      <vt:lpstr>'QB_Funds Analysis raw'!Print_Titles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Carter</dc:creator>
  <cp:lastModifiedBy>the Kenilworth</cp:lastModifiedBy>
  <cp:lastPrinted>2023-06-19T13:13:41Z</cp:lastPrinted>
  <dcterms:created xsi:type="dcterms:W3CDTF">2017-07-14T07:33:12Z</dcterms:created>
  <dcterms:modified xsi:type="dcterms:W3CDTF">2023-06-21T12:17:38Z</dcterms:modified>
</cp:coreProperties>
</file>